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fileSharing readOnlyRecommended="1"/>
  <workbookPr codeName="ThisWorkbook"/>
  <mc:AlternateContent xmlns:mc="http://schemas.openxmlformats.org/markup-compatibility/2006">
    <mc:Choice Requires="x15">
      <x15ac:absPath xmlns:x15ac="http://schemas.microsoft.com/office/spreadsheetml/2010/11/ac" url="S:\Finance\Enw-core-finance\Investors &amp; Planning\Regulation\RIIO2\RIGs\PCFM\Reporting\2023\Notice\"/>
    </mc:Choice>
  </mc:AlternateContent>
  <xr:revisionPtr revIDLastSave="0" documentId="13_ncr:1_{86F42159-A814-4D5C-93FC-F06F80F14840}" xr6:coauthVersionLast="47" xr6:coauthVersionMax="47" xr10:uidLastSave="{00000000-0000-0000-0000-000000000000}"/>
  <bookViews>
    <workbookView xWindow="2037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06" l="1"/>
  <c r="AT284" i="106" l="1"/>
  <c r="AT77" i="15" s="1"/>
  <c r="AU284" i="106"/>
  <c r="AU77" i="15" s="1"/>
  <c r="AV284" i="106"/>
  <c r="AV77" i="15" s="1"/>
  <c r="AS284" i="106"/>
  <c r="AS77" i="15" s="1"/>
  <c r="AR283" i="106"/>
  <c r="AR64" i="15" s="1"/>
  <c r="AS283" i="106"/>
  <c r="AS64" i="15" s="1"/>
  <c r="AT283" i="106"/>
  <c r="AT64" i="15" s="1"/>
  <c r="AV283" i="106"/>
  <c r="AV64" i="15" s="1"/>
  <c r="AU283" i="106"/>
  <c r="AU64" i="15" s="1"/>
  <c r="AR284" i="106"/>
  <c r="AR77" i="15" s="1"/>
  <c r="AU74" i="107" l="1" a="1"/>
  <c r="AU74" i="107" s="1"/>
  <c r="AT74" i="107" a="1"/>
  <c r="AT74" i="107" s="1"/>
  <c r="AS74" i="107" a="1"/>
  <c r="AS74" i="107" s="1"/>
  <c r="AR74" i="107" a="1"/>
  <c r="AR74" i="107" s="1"/>
  <c r="AQ74" i="107" a="1"/>
  <c r="AQ74" i="107" s="1"/>
  <c r="AP74" i="107" a="1"/>
  <c r="AP74" i="107" s="1"/>
  <c r="AO74" i="107" a="1"/>
  <c r="AO74" i="107" s="1"/>
  <c r="AV74" i="107" l="1"/>
  <c r="AV24" i="107" l="1" a="1"/>
  <c r="AV24" i="107" s="1"/>
  <c r="AU24" i="107" a="1"/>
  <c r="AU24" i="107" s="1"/>
  <c r="AT24" i="107" a="1"/>
  <c r="AT24" i="107" s="1"/>
  <c r="AS24" i="107" a="1"/>
  <c r="AS24" i="107" s="1"/>
  <c r="AR24" i="107" a="1"/>
  <c r="AR24" i="107" s="1"/>
  <c r="H354" i="5" l="1"/>
  <c r="AV96" i="107"/>
  <c r="AJ54" i="126" l="1"/>
  <c r="AK52" i="126"/>
  <c r="AJ52" i="126"/>
  <c r="AJ42" i="126"/>
  <c r="AJ43" i="126" s="1"/>
  <c r="W12" i="126"/>
  <c r="V12" i="126"/>
  <c r="U12" i="126"/>
  <c r="T12" i="126"/>
  <c r="S12" i="126"/>
  <c r="R12" i="126"/>
  <c r="Q12" i="126"/>
  <c r="P12" i="126"/>
  <c r="O12" i="126"/>
  <c r="N12" i="126"/>
  <c r="M12" i="126"/>
  <c r="L12" i="126"/>
  <c r="K12" i="126"/>
  <c r="AM1" i="126"/>
  <c r="AV25" i="107" l="1" a="1"/>
  <c r="AV25" i="107" s="1"/>
  <c r="AU25" i="107" a="1"/>
  <c r="AU25" i="107" s="1"/>
  <c r="AT25" i="107" a="1"/>
  <c r="AT25" i="107" s="1"/>
  <c r="AS25" i="107" a="1"/>
  <c r="AS25" i="107" s="1"/>
  <c r="AR25" i="107" a="1"/>
  <c r="AR25" i="107"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54" i="5" s="1"/>
  <c r="AO96" i="106"/>
  <c r="AR96" i="106"/>
  <c r="AR46" i="106"/>
  <c r="AR354" i="5" s="1"/>
  <c r="AS96" i="106"/>
  <c r="AS46" i="106"/>
  <c r="AS354" i="5" s="1"/>
  <c r="AL96" i="106"/>
  <c r="AM96" i="106"/>
  <c r="AU96" i="106"/>
  <c r="AU46" i="106"/>
  <c r="AU354" i="5" s="1"/>
  <c r="AV46" i="106"/>
  <c r="AV354" i="5" s="1"/>
  <c r="H69" i="106"/>
  <c r="H377" i="5" s="1"/>
  <c r="H61" i="106"/>
  <c r="H369" i="5" s="1"/>
  <c r="H53" i="106"/>
  <c r="H361" i="5" s="1"/>
  <c r="H44" i="106"/>
  <c r="H352" i="5" s="1"/>
  <c r="H36" i="106"/>
  <c r="H344" i="5" s="1"/>
  <c r="H28" i="106"/>
  <c r="H336" i="5" s="1"/>
  <c r="H68" i="106"/>
  <c r="H376" i="5" s="1"/>
  <c r="H60" i="106"/>
  <c r="H368" i="5" s="1"/>
  <c r="H52" i="106"/>
  <c r="H360" i="5" s="1"/>
  <c r="H43" i="106"/>
  <c r="H351" i="5" s="1"/>
  <c r="H35" i="106"/>
  <c r="H343" i="5" s="1"/>
  <c r="H27" i="106"/>
  <c r="H335" i="5" s="1"/>
  <c r="H37" i="106"/>
  <c r="H345" i="5" s="1"/>
  <c r="H67" i="106"/>
  <c r="H375" i="5" s="1"/>
  <c r="H59" i="106"/>
  <c r="H367" i="5" s="1"/>
  <c r="H51" i="106"/>
  <c r="H359" i="5" s="1"/>
  <c r="H42" i="106"/>
  <c r="H350" i="5" s="1"/>
  <c r="H34" i="106"/>
  <c r="H342" i="5" s="1"/>
  <c r="H26" i="106"/>
  <c r="H334" i="5" s="1"/>
  <c r="H66" i="106"/>
  <c r="H374" i="5" s="1"/>
  <c r="H58" i="106"/>
  <c r="H366" i="5" s="1"/>
  <c r="H50" i="106"/>
  <c r="H358" i="5" s="1"/>
  <c r="H41" i="106"/>
  <c r="H349" i="5" s="1"/>
  <c r="H33" i="106"/>
  <c r="H341" i="5" s="1"/>
  <c r="H25" i="106"/>
  <c r="H333" i="5" s="1"/>
  <c r="H65" i="106"/>
  <c r="H373" i="5" s="1"/>
  <c r="H57" i="106"/>
  <c r="H365" i="5" s="1"/>
  <c r="H49" i="106"/>
  <c r="H357" i="5" s="1"/>
  <c r="H40" i="106"/>
  <c r="H348" i="5" s="1"/>
  <c r="H32" i="106"/>
  <c r="H340" i="5" s="1"/>
  <c r="H24" i="106"/>
  <c r="H332" i="5" s="1"/>
  <c r="H64" i="106"/>
  <c r="H372" i="5" s="1"/>
  <c r="H56" i="106"/>
  <c r="H364" i="5" s="1"/>
  <c r="H48" i="106"/>
  <c r="H356" i="5" s="1"/>
  <c r="H39" i="106"/>
  <c r="H347" i="5" s="1"/>
  <c r="H31" i="106"/>
  <c r="H339" i="5" s="1"/>
  <c r="H71" i="106"/>
  <c r="H379" i="5" s="1"/>
  <c r="H63" i="106"/>
  <c r="H371" i="5" s="1"/>
  <c r="H55" i="106"/>
  <c r="H363" i="5" s="1"/>
  <c r="H47" i="106"/>
  <c r="H355" i="5" s="1"/>
  <c r="H38" i="106"/>
  <c r="H346" i="5" s="1"/>
  <c r="H30" i="106"/>
  <c r="H338" i="5" s="1"/>
  <c r="H29" i="106"/>
  <c r="H337" i="5" s="1"/>
  <c r="H70" i="106"/>
  <c r="H378" i="5" s="1"/>
  <c r="H62" i="106"/>
  <c r="H370" i="5" s="1"/>
  <c r="H54" i="106"/>
  <c r="H362" i="5" s="1"/>
  <c r="H45" i="106"/>
  <c r="H353"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Q343" i="106"/>
  <c r="AP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U129" i="106"/>
  <c r="AR345" i="106"/>
  <c r="AR347" i="106"/>
  <c r="AR349" i="106"/>
  <c r="AR346"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U126" i="106"/>
  <c r="AV266" i="106"/>
  <c r="AV250" i="5" s="1"/>
  <c r="AQ392" i="106"/>
  <c r="AQ94" i="126" s="1"/>
  <c r="AT163" i="106"/>
  <c r="AU266" i="106"/>
  <c r="AU250" i="5" s="1"/>
  <c r="AQ391" i="106"/>
  <c r="AQ93" i="126" s="1"/>
  <c r="AS141" i="106"/>
  <c r="AR293" i="106"/>
  <c r="AQ379" i="106"/>
  <c r="AQ76" i="126" s="1"/>
  <c r="AR138" i="106"/>
  <c r="AP417" i="106"/>
  <c r="AP138" i="126" s="1"/>
  <c r="AQ378" i="106"/>
  <c r="AQ75" i="126" s="1"/>
  <c r="AV132" i="106"/>
  <c r="AQ407" i="106"/>
  <c r="AQ119" i="126" s="1"/>
  <c r="AQ395" i="106"/>
  <c r="AQ99" i="126" s="1"/>
  <c r="AQ381" i="106"/>
  <c r="AQ78" i="126" s="1"/>
  <c r="AP372" i="106"/>
  <c r="AP65" i="126" s="1"/>
  <c r="AR342" i="106"/>
  <c r="AR20" i="126" s="1"/>
  <c r="AR171" i="106"/>
  <c r="AV167" i="106"/>
  <c r="AU164" i="106"/>
  <c r="AT162" i="106"/>
  <c r="AS139" i="106"/>
  <c r="AR136" i="106"/>
  <c r="AV130" i="106"/>
  <c r="AS126" i="106"/>
  <c r="AP369" i="106"/>
  <c r="AP60" i="126" s="1"/>
  <c r="AT280" i="106"/>
  <c r="AS170" i="106"/>
  <c r="AR167" i="106"/>
  <c r="AV163" i="106"/>
  <c r="AU141" i="106"/>
  <c r="AT138" i="106"/>
  <c r="AS135" i="106"/>
  <c r="AR130" i="106"/>
  <c r="AR271" i="106"/>
  <c r="AR255" i="5" s="1"/>
  <c r="AT266" i="106"/>
  <c r="AT250" i="5" s="1"/>
  <c r="AQ414" i="106"/>
  <c r="AQ133" i="126" s="1"/>
  <c r="AP403" i="106"/>
  <c r="AP113" i="126" s="1"/>
  <c r="AP391" i="106"/>
  <c r="AP93" i="126" s="1"/>
  <c r="AP378" i="106"/>
  <c r="AP75" i="126" s="1"/>
  <c r="AV279" i="106"/>
  <c r="AU169" i="106"/>
  <c r="AT166" i="106"/>
  <c r="AS163" i="106"/>
  <c r="AR141" i="106"/>
  <c r="AV137" i="106"/>
  <c r="AU132" i="106"/>
  <c r="AT129" i="106"/>
  <c r="AT270" i="106"/>
  <c r="AT254" i="5" s="1"/>
  <c r="AR265" i="106"/>
  <c r="AR248" i="5" s="1"/>
  <c r="AP414" i="106"/>
  <c r="AP133" i="126" s="1"/>
  <c r="AQ401" i="106"/>
  <c r="AQ109" i="126" s="1"/>
  <c r="AQ389" i="106"/>
  <c r="AQ89" i="126" s="1"/>
  <c r="AQ376" i="106"/>
  <c r="AQ71" i="126" s="1"/>
  <c r="AU279" i="106"/>
  <c r="AT169" i="106"/>
  <c r="AS166" i="106"/>
  <c r="AR163" i="106"/>
  <c r="AV140" i="106"/>
  <c r="AU137" i="106"/>
  <c r="AT132" i="106"/>
  <c r="AS129"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R140" i="106"/>
  <c r="AV136" i="106"/>
  <c r="AU131" i="106"/>
  <c r="AU127" i="106"/>
  <c r="AQ270" i="106"/>
  <c r="AQ254" i="5" s="1"/>
  <c r="AP418" i="106"/>
  <c r="AP139" i="126" s="1"/>
  <c r="AQ409" i="106"/>
  <c r="AQ123" i="126" s="1"/>
  <c r="AQ397" i="106"/>
  <c r="AQ103" i="126" s="1"/>
  <c r="AQ385" i="106"/>
  <c r="AQ83" i="126" s="1"/>
  <c r="AP373" i="106"/>
  <c r="AP66" i="126" s="1"/>
  <c r="AT171" i="106"/>
  <c r="AS168" i="106"/>
  <c r="AR165" i="106"/>
  <c r="AV162" i="106"/>
  <c r="AU139" i="106"/>
  <c r="AT136" i="106"/>
  <c r="AS131" i="106"/>
  <c r="AV126" i="106"/>
  <c r="AV267" i="106"/>
  <c r="AV251" i="5" s="1"/>
  <c r="AV293" i="106"/>
  <c r="AQ417" i="106"/>
  <c r="AQ138" i="126" s="1"/>
  <c r="AP409" i="106"/>
  <c r="AP123" i="126" s="1"/>
  <c r="AP397" i="106"/>
  <c r="AP103" i="126" s="1"/>
  <c r="AP385" i="106"/>
  <c r="AP83" i="126" s="1"/>
  <c r="AQ372" i="106"/>
  <c r="AQ65" i="126" s="1"/>
  <c r="AS171" i="106"/>
  <c r="AR168" i="106"/>
  <c r="AV164" i="106"/>
  <c r="AU162" i="106"/>
  <c r="AT139" i="106"/>
  <c r="AS136" i="106"/>
  <c r="AR131" i="106"/>
  <c r="AT126" i="106"/>
  <c r="AR126" i="106"/>
  <c r="AT128" i="106"/>
  <c r="AR128" i="106"/>
  <c r="AV127"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AU140" i="106"/>
  <c r="AR139" i="106"/>
  <c r="AT137" i="106"/>
  <c r="AV135" i="106"/>
  <c r="AS132" i="106"/>
  <c r="AU130" i="106"/>
  <c r="AR129" i="106"/>
  <c r="AT127"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AT140" i="106"/>
  <c r="AV138" i="106"/>
  <c r="AS137" i="106"/>
  <c r="AU135" i="106"/>
  <c r="AR132" i="106"/>
  <c r="AT130" i="106"/>
  <c r="AV128" i="106"/>
  <c r="AS127"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V141" i="106"/>
  <c r="AS140" i="106"/>
  <c r="AU138" i="106"/>
  <c r="AR137" i="106"/>
  <c r="AT135" i="106"/>
  <c r="AV131" i="106"/>
  <c r="AS130" i="106"/>
  <c r="AU128" i="106"/>
  <c r="AR127"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T141" i="106"/>
  <c r="AV139" i="106"/>
  <c r="AS138" i="106"/>
  <c r="AU136" i="106"/>
  <c r="AR135" i="106"/>
  <c r="AT131" i="106"/>
  <c r="AV129" i="106"/>
  <c r="AS128" i="106"/>
  <c r="AQ407" i="5" l="1"/>
  <c r="AS407" i="5"/>
  <c r="AT407" i="5"/>
  <c r="AU407" i="5"/>
  <c r="AM407" i="5"/>
  <c r="AN354" i="5" s="1"/>
  <c r="AR407" i="5"/>
  <c r="AJ407" i="5"/>
  <c r="AL407" i="5"/>
  <c r="AO407" i="5"/>
  <c r="AP407" i="5"/>
  <c r="AU48" i="126"/>
  <c r="AU25" i="101" s="1"/>
  <c r="AT48" i="126"/>
  <c r="AT25" i="101" s="1"/>
  <c r="E96" i="106"/>
  <c r="E354" i="5"/>
  <c r="AP354"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5" i="5"/>
  <c r="AS118" i="5"/>
  <c r="AT77" i="5"/>
  <c r="AT104" i="5"/>
  <c r="AU130" i="5"/>
  <c r="AV105" i="5"/>
  <c r="AS62" i="5"/>
  <c r="AU76" i="5"/>
  <c r="AU107" i="5"/>
  <c r="AV65" i="5"/>
  <c r="AU61" i="5"/>
  <c r="AU105" i="5"/>
  <c r="I239" i="5"/>
  <c r="I18" i="125" s="1"/>
  <c r="AK177" i="5"/>
  <c r="AO177" i="5"/>
  <c r="AQ275" i="5"/>
  <c r="AQ88" i="15" s="1"/>
  <c r="AV94" i="5"/>
  <c r="AT129" i="5"/>
  <c r="AS129" i="5"/>
  <c r="AR92" i="5"/>
  <c r="AV64" i="5"/>
  <c r="AR66" i="5"/>
  <c r="AS105" i="5"/>
  <c r="AJ180" i="5"/>
  <c r="AT66" i="5"/>
  <c r="AT109" i="5"/>
  <c r="AS73" i="5"/>
  <c r="AR72" i="5"/>
  <c r="AT107" i="5"/>
  <c r="AU75" i="5"/>
  <c r="AR283" i="5"/>
  <c r="AV63" i="5"/>
  <c r="AS103" i="5"/>
  <c r="AT288" i="5"/>
  <c r="AS67" i="5"/>
  <c r="AU106" i="5"/>
  <c r="AT76" i="5"/>
  <c r="AV101" i="5"/>
  <c r="AV110" i="5"/>
  <c r="AU283" i="5"/>
  <c r="AU67" i="5"/>
  <c r="AU78" i="5"/>
  <c r="AR73" i="5"/>
  <c r="AR288" i="5"/>
  <c r="AV108" i="5"/>
  <c r="AU64" i="5"/>
  <c r="I242" i="5"/>
  <c r="I35" i="125" s="1"/>
  <c r="AK180" i="5"/>
  <c r="AO180" i="5"/>
  <c r="AU129" i="5"/>
  <c r="AV130" i="5"/>
  <c r="AU118" i="5"/>
  <c r="AV92" i="5"/>
  <c r="AS63" i="5"/>
  <c r="AT62" i="5"/>
  <c r="AR102" i="5"/>
  <c r="AN177" i="5"/>
  <c r="AS61" i="5"/>
  <c r="AU94" i="5"/>
  <c r="AU65" i="5"/>
  <c r="AU73" i="5"/>
  <c r="AR109" i="5"/>
  <c r="AS77" i="5"/>
  <c r="AU284" i="5"/>
  <c r="AT65" i="5"/>
  <c r="AV104" i="5"/>
  <c r="AV72" i="5"/>
  <c r="AS108" i="5"/>
  <c r="AV62" i="5"/>
  <c r="AU101" i="5"/>
  <c r="AR104" i="5"/>
  <c r="AS64" i="5"/>
  <c r="AV74" i="5"/>
  <c r="AV102" i="5"/>
  <c r="AS76" i="5"/>
  <c r="AS78" i="5"/>
  <c r="AV285" i="5"/>
  <c r="I241" i="5"/>
  <c r="I34" i="125" s="1"/>
  <c r="AL177" i="5"/>
  <c r="AP177" i="5"/>
  <c r="AV129" i="5"/>
  <c r="AV118" i="5"/>
  <c r="AT92" i="5"/>
  <c r="AS283" i="5"/>
  <c r="AS66" i="5"/>
  <c r="AR65" i="5"/>
  <c r="AR276" i="5"/>
  <c r="AR100" i="15" s="1"/>
  <c r="AV284" i="5"/>
  <c r="AR75" i="5"/>
  <c r="AV119" i="5"/>
  <c r="AR74" i="5"/>
  <c r="AR105" i="5"/>
  <c r="AT64" i="5"/>
  <c r="AS75" i="5"/>
  <c r="AV78" i="5"/>
  <c r="AR67" i="5"/>
  <c r="AT106" i="5"/>
  <c r="AT74" i="5"/>
  <c r="AV109" i="5"/>
  <c r="AR63" i="5"/>
  <c r="AV103" i="5"/>
  <c r="AV288" i="5"/>
  <c r="AS107" i="5"/>
  <c r="AU62" i="5"/>
  <c r="AT67" i="5"/>
  <c r="AR78" i="5"/>
  <c r="AR106" i="5"/>
  <c r="AT101" i="5"/>
  <c r="AR284" i="5"/>
  <c r="AS285" i="5"/>
  <c r="I243" i="5"/>
  <c r="I36" i="125" s="1"/>
  <c r="AL180" i="5"/>
  <c r="AP180" i="5"/>
  <c r="AR130" i="5"/>
  <c r="AR119" i="5"/>
  <c r="AS92" i="5"/>
  <c r="AU102" i="5"/>
  <c r="AR77" i="5"/>
  <c r="AR110" i="5"/>
  <c r="AI231" i="5"/>
  <c r="AT94" i="5"/>
  <c r="AT72" i="5"/>
  <c r="AR64" i="5"/>
  <c r="AS72" i="5"/>
  <c r="AR278" i="5"/>
  <c r="AR213" i="17" s="1"/>
  <c r="AT75" i="5"/>
  <c r="AU110" i="5"/>
  <c r="AR62" i="5"/>
  <c r="AV76" i="5"/>
  <c r="AS284" i="5"/>
  <c r="AU63" i="5"/>
  <c r="AR103" i="5"/>
  <c r="AS288" i="5"/>
  <c r="AU72" i="5"/>
  <c r="AR108" i="5"/>
  <c r="AR76" i="5"/>
  <c r="AT283" i="5"/>
  <c r="AT63" i="5"/>
  <c r="AR107" i="5"/>
  <c r="AT110" i="5"/>
  <c r="AU66" i="5"/>
  <c r="AU74" i="5"/>
  <c r="AS102" i="5"/>
  <c r="AS109" i="5"/>
  <c r="AU103" i="5"/>
  <c r="AV67" i="5"/>
  <c r="AT285" i="5"/>
  <c r="AQ57" i="101"/>
  <c r="I240" i="5"/>
  <c r="I33" i="125" s="1"/>
  <c r="AM177" i="5"/>
  <c r="AQ177" i="5"/>
  <c r="AR94" i="5"/>
  <c r="AS130" i="5"/>
  <c r="AR118" i="5"/>
  <c r="AS119" i="5"/>
  <c r="AU92" i="5"/>
  <c r="AV66" i="5"/>
  <c r="AU108" i="5"/>
  <c r="AJ177" i="5"/>
  <c r="AR129" i="5"/>
  <c r="AS104" i="5"/>
  <c r="AT103" i="5"/>
  <c r="AT73" i="5"/>
  <c r="AV283" i="5"/>
  <c r="AN180" i="5"/>
  <c r="AT119" i="5"/>
  <c r="AR101" i="5"/>
  <c r="AT108" i="5"/>
  <c r="AT78" i="5"/>
  <c r="AS65" i="5"/>
  <c r="AU104" i="5"/>
  <c r="AS74" i="5"/>
  <c r="AU109" i="5"/>
  <c r="AU77" i="5"/>
  <c r="AU288" i="5"/>
  <c r="AR61" i="5"/>
  <c r="AS110" i="5"/>
  <c r="AV61" i="5"/>
  <c r="AV73" i="5"/>
  <c r="AV77" i="5"/>
  <c r="AT105" i="5"/>
  <c r="AT284" i="5"/>
  <c r="AV106" i="5"/>
  <c r="AT102" i="5"/>
  <c r="AU285" i="5"/>
  <c r="AH231" i="5"/>
  <c r="AM180" i="5"/>
  <c r="AQ180" i="5"/>
  <c r="AQ63" i="17" s="1"/>
  <c r="AQ66" i="17" s="1"/>
  <c r="AS94" i="5"/>
  <c r="AT130" i="5"/>
  <c r="AU119" i="5"/>
  <c r="AT118" i="5"/>
  <c r="AV209" i="5"/>
  <c r="AU209" i="5"/>
  <c r="AS209" i="5"/>
  <c r="AT209" i="5"/>
  <c r="AR209" i="5"/>
  <c r="AT210" i="5"/>
  <c r="AS210" i="5"/>
  <c r="AU210" i="5"/>
  <c r="AV210" i="5"/>
  <c r="AR210" i="5"/>
  <c r="AU62" i="2" l="1"/>
  <c r="AS62" i="2"/>
  <c r="AR62" i="2"/>
  <c r="AT62" i="2"/>
  <c r="AV62" i="2"/>
  <c r="AO354" i="5"/>
  <c r="AN182" i="5"/>
  <c r="E407"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R273" i="5"/>
  <c r="AR74" i="15" s="1"/>
  <c r="AR272" i="5"/>
  <c r="AR61" i="15" s="1"/>
  <c r="AT286" i="106"/>
  <c r="AR286" i="106"/>
  <c r="AU286" i="106"/>
  <c r="AS286" i="106"/>
  <c r="AV286" i="106"/>
  <c r="AS264" i="5" l="1"/>
  <c r="AT264" i="5"/>
  <c r="AR264" i="5"/>
  <c r="AU264" i="5"/>
  <c r="AV264" i="5"/>
  <c r="Q226" i="5"/>
  <c r="AV109" i="107"/>
  <c r="AV93" i="107"/>
  <c r="AV77" i="107"/>
  <c r="AV101" i="107"/>
  <c r="AV110" i="107"/>
  <c r="AV107" i="107"/>
  <c r="AV98" i="107"/>
  <c r="AV88" i="107"/>
  <c r="AV100" i="107"/>
  <c r="AV87" i="107"/>
  <c r="AV80" i="107"/>
  <c r="AV113" i="107"/>
  <c r="AV116" i="107"/>
  <c r="AV78" i="107"/>
  <c r="AV118" i="107"/>
  <c r="AV119" i="107"/>
  <c r="AV103" i="107"/>
  <c r="AV106" i="107"/>
  <c r="AV120" i="107"/>
  <c r="AV104" i="107"/>
  <c r="AV89" i="107"/>
  <c r="AV90" i="107"/>
  <c r="AV92" i="107"/>
  <c r="AV81" i="107"/>
  <c r="AV84" i="107"/>
  <c r="AV82" i="107"/>
  <c r="AV94" i="107"/>
  <c r="AV91" i="107"/>
  <c r="AV121" i="107"/>
  <c r="AV105" i="107"/>
  <c r="AV108" i="107"/>
  <c r="AV95" i="107"/>
  <c r="AV99" i="107"/>
  <c r="AV97" i="107"/>
  <c r="AV117" i="107"/>
  <c r="AV115" i="107"/>
  <c r="AV102" i="107"/>
  <c r="AV83" i="107"/>
  <c r="AV111" i="107"/>
  <c r="AV114" i="107"/>
  <c r="AV76" i="107"/>
  <c r="AV112" i="107"/>
  <c r="AV86" i="107"/>
  <c r="AV85" i="107"/>
  <c r="AV79" i="107"/>
  <c r="AR153" i="106"/>
  <c r="AU153" i="106"/>
  <c r="AT153" i="106"/>
  <c r="AV153" i="106"/>
  <c r="AS153" i="106"/>
  <c r="AS75" i="107" a="1"/>
  <c r="AS75" i="107" s="1"/>
  <c r="AR75" i="107" a="1"/>
  <c r="AR75" i="107" s="1"/>
  <c r="AQ75" i="107" a="1"/>
  <c r="AQ75" i="107" s="1"/>
  <c r="AU75" i="107" a="1"/>
  <c r="AU75" i="107" s="1"/>
  <c r="AP75" i="107" a="1"/>
  <c r="AP75" i="107" s="1"/>
  <c r="AT75" i="107" a="1"/>
  <c r="AT75" i="107" s="1"/>
  <c r="AO75" i="107" a="1"/>
  <c r="AO75" i="107"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T149" i="106"/>
  <c r="AV311" i="106"/>
  <c r="AV304" i="106"/>
  <c r="AU319" i="106"/>
  <c r="AV337" i="106"/>
  <c r="AU20" i="106"/>
  <c r="AU151" i="106"/>
  <c r="AV37" i="106"/>
  <c r="AS147" i="106"/>
  <c r="AS69" i="106"/>
  <c r="AS151" i="106"/>
  <c r="AR196" i="106"/>
  <c r="AS287" i="106"/>
  <c r="AS332" i="106"/>
  <c r="AT328" i="106"/>
  <c r="AS318" i="106"/>
  <c r="AS182" i="106"/>
  <c r="AU31" i="106"/>
  <c r="AT36" i="106"/>
  <c r="AS67" i="106"/>
  <c r="AV145" i="106"/>
  <c r="AV198" i="106"/>
  <c r="AV287" i="106"/>
  <c r="AT296" i="106"/>
  <c r="AR309" i="106"/>
  <c r="AT317" i="106"/>
  <c r="AU332" i="106"/>
  <c r="AT53" i="106"/>
  <c r="AR152" i="106"/>
  <c r="AS50" i="106"/>
  <c r="AU39" i="106"/>
  <c r="AT289" i="106"/>
  <c r="AT327" i="106"/>
  <c r="AT304" i="106"/>
  <c r="AV331" i="106"/>
  <c r="AR320" i="106"/>
  <c r="AS18" i="106"/>
  <c r="AT180" i="106"/>
  <c r="AV35" i="106"/>
  <c r="AU63" i="106"/>
  <c r="AR53" i="106"/>
  <c r="AS55" i="106"/>
  <c r="AU148"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R148"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146"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R147" i="106"/>
  <c r="AV199" i="106"/>
  <c r="AV298" i="106"/>
  <c r="AT335" i="106"/>
  <c r="AV332" i="106"/>
  <c r="AS15" i="106"/>
  <c r="AT63" i="106"/>
  <c r="AV65" i="106"/>
  <c r="AR68" i="106"/>
  <c r="AV180" i="106"/>
  <c r="AV193" i="106"/>
  <c r="AS313" i="106"/>
  <c r="AT309" i="106"/>
  <c r="AS327" i="106"/>
  <c r="AU318" i="106"/>
  <c r="AS32" i="106"/>
  <c r="AS60" i="106"/>
  <c r="AS54" i="106"/>
  <c r="AR51" i="106"/>
  <c r="AT155"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U149" i="106"/>
  <c r="AT194" i="106"/>
  <c r="AS290" i="106"/>
  <c r="AT319" i="106"/>
  <c r="AV326" i="106"/>
  <c r="AU316" i="106"/>
  <c r="AV17" i="106"/>
  <c r="AR63" i="106"/>
  <c r="AR47" i="106"/>
  <c r="AV155" i="106"/>
  <c r="AU38" i="106"/>
  <c r="AU203" i="106"/>
  <c r="AU202" i="106"/>
  <c r="AS316" i="106"/>
  <c r="AS301" i="106"/>
  <c r="AU328" i="106"/>
  <c r="AV182" i="106"/>
  <c r="AT55" i="106"/>
  <c r="AU32" i="106"/>
  <c r="AT60" i="106"/>
  <c r="AV50" i="106"/>
  <c r="AT145" i="106"/>
  <c r="AS198" i="106"/>
  <c r="AS297" i="106"/>
  <c r="AU322" i="106"/>
  <c r="AS331" i="106"/>
  <c r="AR71" i="106"/>
  <c r="AS59" i="106"/>
  <c r="AS14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V146"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S155" i="106"/>
  <c r="AU150" i="106"/>
  <c r="AU155"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T150" i="106"/>
  <c r="AS201" i="106"/>
  <c r="AT203" i="106"/>
  <c r="AS302" i="106"/>
  <c r="AV336" i="106"/>
  <c r="AS328" i="106"/>
  <c r="AU17" i="106"/>
  <c r="AR29" i="106"/>
  <c r="AV52" i="106"/>
  <c r="AR52" i="106"/>
  <c r="AV47" i="106"/>
  <c r="AS152" i="106"/>
  <c r="AV195" i="106"/>
  <c r="AS288" i="106"/>
  <c r="AU330" i="106"/>
  <c r="AU309" i="106"/>
  <c r="AT324" i="106"/>
  <c r="AU50" i="106"/>
  <c r="AS30" i="106"/>
  <c r="AT65" i="106"/>
  <c r="AS61" i="106"/>
  <c r="AV308" i="106"/>
  <c r="AT320" i="106"/>
  <c r="AV60" i="106"/>
  <c r="AV45" i="106"/>
  <c r="AU40" i="106"/>
  <c r="AT147"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S146" i="106"/>
  <c r="AR36" i="106"/>
  <c r="AT29" i="106"/>
  <c r="AS57" i="106"/>
  <c r="AU47" i="106"/>
  <c r="AV49" i="106"/>
  <c r="AR290" i="106"/>
  <c r="AR195" i="106"/>
  <c r="AU298" i="106"/>
  <c r="AT312" i="106"/>
  <c r="AR328" i="106"/>
  <c r="AT30" i="106"/>
  <c r="AU57" i="106"/>
  <c r="AS28" i="106"/>
  <c r="AU147" i="106"/>
  <c r="AT151"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152" i="106"/>
  <c r="AS148" i="106"/>
  <c r="AV200" i="106"/>
  <c r="AT299" i="106"/>
  <c r="AS333" i="106"/>
  <c r="AR323" i="106"/>
  <c r="AT16" i="106"/>
  <c r="AR149" i="106"/>
  <c r="AV41" i="106"/>
  <c r="AR44" i="106"/>
  <c r="AR200" i="106"/>
  <c r="AR297" i="106"/>
  <c r="AU307" i="106"/>
  <c r="AR335" i="106"/>
  <c r="AS323" i="106"/>
  <c r="AR20" i="106"/>
  <c r="AS37" i="106"/>
  <c r="AU180" i="106"/>
  <c r="AU70" i="106"/>
  <c r="AR146"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V151" i="106"/>
  <c r="AT330" i="106"/>
  <c r="AS197" i="106"/>
  <c r="AT26" i="106"/>
  <c r="AV36" i="106"/>
  <c r="AT47" i="106"/>
  <c r="AR70" i="106"/>
  <c r="AT59" i="106"/>
  <c r="AU61" i="106"/>
  <c r="AV205" i="106"/>
  <c r="AV306" i="106"/>
  <c r="AR303" i="106"/>
  <c r="AV320" i="106"/>
  <c r="AS43" i="106"/>
  <c r="AV48" i="106"/>
  <c r="AU43" i="106"/>
  <c r="AR151" i="106"/>
  <c r="AR296" i="106"/>
  <c r="AT313" i="106"/>
  <c r="AT306" i="106"/>
  <c r="AS321" i="106"/>
  <c r="AT39" i="106"/>
  <c r="AR41" i="106"/>
  <c r="AR27" i="106"/>
  <c r="AS62" i="106"/>
  <c r="AR58" i="106"/>
  <c r="AT198" i="106"/>
  <c r="AR205" i="106"/>
  <c r="AU305" i="106"/>
  <c r="AS317" i="106"/>
  <c r="AU335" i="106"/>
  <c r="AV26" i="106"/>
  <c r="AR26" i="106"/>
  <c r="AS44" i="106"/>
  <c r="AU145" i="106"/>
  <c r="AT152" i="106"/>
  <c r="AS199" i="106"/>
  <c r="AV297" i="106"/>
  <c r="AU331" i="106"/>
  <c r="AT321" i="106"/>
  <c r="AR16" i="106"/>
  <c r="AU41" i="106"/>
  <c r="AR39" i="106"/>
  <c r="AT70" i="106"/>
  <c r="AV150" i="106"/>
  <c r="AU205" i="106"/>
  <c r="AU194" i="106"/>
  <c r="AR298" i="106"/>
  <c r="AS312" i="106"/>
  <c r="AU320" i="106"/>
  <c r="AV335" i="106"/>
  <c r="AV19" i="106"/>
  <c r="AU36" i="106"/>
  <c r="AS65" i="106"/>
  <c r="AU54" i="106"/>
  <c r="AV56" i="106"/>
  <c r="AS150" i="106"/>
  <c r="AR203" i="106"/>
  <c r="AR302" i="106"/>
  <c r="AS298" i="106"/>
  <c r="AR316" i="106"/>
  <c r="AR336" i="106"/>
  <c r="AU18" i="106"/>
  <c r="AV59" i="106"/>
  <c r="AR37" i="106"/>
  <c r="AU44" i="106"/>
  <c r="AV147"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T146" i="106"/>
  <c r="AR57" i="106"/>
  <c r="AS326" i="106"/>
  <c r="AV197" i="106"/>
  <c r="AR54" i="106"/>
  <c r="AV324" i="106"/>
  <c r="AU204" i="106"/>
  <c r="AR155" i="106"/>
  <c r="AV321" i="106"/>
  <c r="AR48" i="106"/>
  <c r="AU26" i="106"/>
  <c r="AR202" i="106"/>
  <c r="AS145" i="106"/>
  <c r="AV148" i="106"/>
  <c r="AS200" i="106"/>
  <c r="AR299" i="106"/>
  <c r="AS324" i="106"/>
  <c r="AU333" i="106"/>
  <c r="AR325" i="106"/>
  <c r="AT20" i="106"/>
  <c r="AS38" i="106"/>
  <c r="AU60" i="106"/>
  <c r="AT56" i="106"/>
  <c r="AR194" i="106"/>
  <c r="AR304" i="106"/>
  <c r="AU315" i="106"/>
  <c r="AR334" i="106"/>
  <c r="AR50" i="106"/>
  <c r="AV149" i="106"/>
  <c r="AV70" i="106"/>
  <c r="AU197" i="106"/>
  <c r="AS289" i="106"/>
  <c r="AS296" i="106"/>
  <c r="AR330" i="106"/>
  <c r="AV319" i="106"/>
  <c r="AV20" i="106"/>
  <c r="AT38" i="106"/>
  <c r="AT37" i="106"/>
  <c r="AV68" i="106"/>
  <c r="AT148" i="106"/>
  <c r="AS203" i="106"/>
  <c r="AV309" i="106"/>
  <c r="AU310" i="106"/>
  <c r="AR319" i="106"/>
  <c r="AS334" i="106"/>
  <c r="AU182" i="106"/>
  <c r="AS66" i="106"/>
  <c r="AR177" i="106"/>
  <c r="AV51" i="106"/>
  <c r="AT42" i="106"/>
  <c r="AU195" i="106"/>
  <c r="AT205" i="106"/>
  <c r="AR305" i="106"/>
  <c r="AR306" i="106"/>
  <c r="AT333" i="106"/>
  <c r="AU321" i="106"/>
  <c r="AV16" i="106"/>
  <c r="AU29" i="106"/>
  <c r="AV69" i="106"/>
  <c r="AU152" i="106"/>
  <c r="AT67" i="106"/>
  <c r="AU69" i="106"/>
  <c r="AT196" i="106"/>
  <c r="AT195" i="106"/>
  <c r="AV316" i="106"/>
  <c r="AR311" i="106"/>
  <c r="AV328" i="106"/>
  <c r="AS320" i="106"/>
  <c r="AS17" i="106"/>
  <c r="AT35" i="106"/>
  <c r="AT71" i="106"/>
  <c r="AT57" i="106"/>
  <c r="AS53" i="106"/>
  <c r="AS202" i="106"/>
  <c r="AR289" i="106"/>
  <c r="AV300" i="106"/>
  <c r="AV325" i="106"/>
  <c r="AV330" i="106"/>
  <c r="AS361" i="5" l="1"/>
  <c r="AV32" i="5"/>
  <c r="AV359" i="5"/>
  <c r="AS141" i="5"/>
  <c r="AS436" i="5"/>
  <c r="AR444" i="5"/>
  <c r="AU473" i="5"/>
  <c r="AL423" i="5"/>
  <c r="AQ395" i="5"/>
  <c r="AU427" i="5"/>
  <c r="AT404" i="5"/>
  <c r="AS426" i="5"/>
  <c r="AS476" i="5"/>
  <c r="AV367" i="5"/>
  <c r="AV364" i="5"/>
  <c r="AR438" i="5"/>
  <c r="AT461" i="5"/>
  <c r="AV334" i="5"/>
  <c r="AU351" i="5"/>
  <c r="AT367" i="5"/>
  <c r="AU476" i="5"/>
  <c r="AM388" i="5"/>
  <c r="AN335" i="5" s="1"/>
  <c r="AJ397" i="5"/>
  <c r="AP426" i="5"/>
  <c r="AT394" i="5"/>
  <c r="AL405" i="5"/>
  <c r="AM393" i="5"/>
  <c r="AN340" i="5" s="1"/>
  <c r="AJ227" i="5"/>
  <c r="AU136" i="5"/>
  <c r="AR475" i="5"/>
  <c r="AR463" i="5"/>
  <c r="AS339" i="5"/>
  <c r="AV371" i="5"/>
  <c r="AT358" i="5"/>
  <c r="AV139" i="5"/>
  <c r="AT452" i="5"/>
  <c r="AT348" i="5"/>
  <c r="AT418" i="5"/>
  <c r="AJ419" i="5"/>
  <c r="AP406" i="5"/>
  <c r="AM390" i="5"/>
  <c r="AN337" i="5" s="1"/>
  <c r="AO396" i="5"/>
  <c r="AL401" i="5"/>
  <c r="AO395" i="5"/>
  <c r="AU417" i="5"/>
  <c r="AT441" i="5"/>
  <c r="AT477" i="5"/>
  <c r="AV368" i="5"/>
  <c r="AT464" i="5"/>
  <c r="AV360" i="5"/>
  <c r="AT88" i="5"/>
  <c r="AU379" i="5"/>
  <c r="AU137" i="5"/>
  <c r="AT34" i="5"/>
  <c r="AM398" i="5"/>
  <c r="AN345" i="5" s="1"/>
  <c r="AQ416" i="5"/>
  <c r="AM432" i="5"/>
  <c r="AN379" i="5" s="1"/>
  <c r="AL389" i="5"/>
  <c r="AO388" i="5"/>
  <c r="AM395" i="5"/>
  <c r="AN342" i="5" s="1"/>
  <c r="AR405" i="5"/>
  <c r="AJ405" i="5"/>
  <c r="AO398" i="5"/>
  <c r="AM411" i="5"/>
  <c r="AN358" i="5" s="1"/>
  <c r="AO416" i="5"/>
  <c r="AU395" i="5"/>
  <c r="AT147" i="5"/>
  <c r="AV474" i="5"/>
  <c r="AR466" i="5"/>
  <c r="AV436" i="5"/>
  <c r="AR464" i="5"/>
  <c r="AU364" i="5"/>
  <c r="AV366" i="5"/>
  <c r="AS120" i="5"/>
  <c r="AR135" i="5"/>
  <c r="AT113" i="5"/>
  <c r="AR424" i="5"/>
  <c r="AT413" i="5"/>
  <c r="AM387" i="5"/>
  <c r="AN334" i="5" s="1"/>
  <c r="AO401" i="5"/>
  <c r="AJ424" i="5"/>
  <c r="AR416" i="5"/>
  <c r="AR397" i="5"/>
  <c r="AR429" i="5"/>
  <c r="AR453" i="5"/>
  <c r="AR462" i="5"/>
  <c r="AT438" i="5"/>
  <c r="AR457" i="5"/>
  <c r="AS367" i="5"/>
  <c r="AT368" i="5"/>
  <c r="AU141" i="5"/>
  <c r="AT459" i="5"/>
  <c r="AT456" i="5"/>
  <c r="AR452" i="5"/>
  <c r="AT397" i="5"/>
  <c r="AS429" i="5"/>
  <c r="AS422" i="5"/>
  <c r="AU416" i="5"/>
  <c r="AS396" i="5"/>
  <c r="AV467" i="5"/>
  <c r="AU467" i="5"/>
  <c r="AS340" i="5"/>
  <c r="AV373" i="5"/>
  <c r="AU361" i="5"/>
  <c r="AV442" i="5"/>
  <c r="AT35" i="5"/>
  <c r="AU373" i="5"/>
  <c r="AV141" i="5"/>
  <c r="AP427" i="5"/>
  <c r="AQ429" i="5"/>
  <c r="AO387" i="5"/>
  <c r="AL412" i="5"/>
  <c r="AU411" i="5"/>
  <c r="AR393" i="5"/>
  <c r="AM428" i="5"/>
  <c r="AN375" i="5" s="1"/>
  <c r="AS147" i="5"/>
  <c r="AT454" i="5"/>
  <c r="AV343" i="5"/>
  <c r="AT267" i="5"/>
  <c r="AT436" i="5"/>
  <c r="AS458" i="5"/>
  <c r="AV345" i="5"/>
  <c r="AT87" i="5"/>
  <c r="AU443" i="5"/>
  <c r="AP398" i="5"/>
  <c r="AJ412" i="5"/>
  <c r="AL418" i="5"/>
  <c r="AQ408" i="5"/>
  <c r="AM399" i="5"/>
  <c r="AN346" i="5" s="1"/>
  <c r="AR404" i="5"/>
  <c r="AR387" i="5"/>
  <c r="AM415" i="5"/>
  <c r="AN362" i="5" s="1"/>
  <c r="AP417" i="5"/>
  <c r="AP227" i="5"/>
  <c r="T226" i="5"/>
  <c r="X227" i="5"/>
  <c r="AD226" i="5"/>
  <c r="O226" i="5"/>
  <c r="O227" i="5"/>
  <c r="W226" i="5"/>
  <c r="AV440" i="5"/>
  <c r="AS140" i="5"/>
  <c r="AT133" i="5"/>
  <c r="AT86" i="5"/>
  <c r="AS267" i="5"/>
  <c r="AS464" i="5"/>
  <c r="AV461" i="5"/>
  <c r="AT84" i="5"/>
  <c r="AJ389" i="5"/>
  <c r="AL406" i="5"/>
  <c r="AP410" i="5"/>
  <c r="AS403" i="5"/>
  <c r="AM419" i="5"/>
  <c r="AN366" i="5" s="1"/>
  <c r="AS404" i="5"/>
  <c r="AR458" i="5"/>
  <c r="AU34" i="5"/>
  <c r="AU362" i="5"/>
  <c r="AU132" i="5"/>
  <c r="AU471" i="5"/>
  <c r="AU475" i="5"/>
  <c r="AV356" i="5"/>
  <c r="AS334" i="5"/>
  <c r="AJ422" i="5"/>
  <c r="AL427" i="5"/>
  <c r="AP423" i="5"/>
  <c r="AQ425" i="5"/>
  <c r="AU419" i="5"/>
  <c r="AJ402" i="5"/>
  <c r="AP402" i="5"/>
  <c r="AQ227" i="5"/>
  <c r="AV142" i="5"/>
  <c r="AU447" i="5"/>
  <c r="AS473" i="5"/>
  <c r="AS477" i="5"/>
  <c r="AU336" i="5"/>
  <c r="AT356" i="5"/>
  <c r="AV134" i="5"/>
  <c r="AU438" i="5"/>
  <c r="AS84" i="5"/>
  <c r="AU376" i="5"/>
  <c r="AL394" i="5"/>
  <c r="AS399" i="5"/>
  <c r="AQ406" i="5"/>
  <c r="AM385" i="5"/>
  <c r="AN332" i="5" s="1"/>
  <c r="AP390" i="5"/>
  <c r="AJ392" i="5"/>
  <c r="AP425" i="5"/>
  <c r="AU406" i="5"/>
  <c r="AS445" i="5"/>
  <c r="AS462" i="5"/>
  <c r="AT460" i="5"/>
  <c r="AU449" i="5"/>
  <c r="AU345" i="5"/>
  <c r="AU359" i="5"/>
  <c r="AT117" i="5"/>
  <c r="AS364" i="5"/>
  <c r="AJ420" i="5"/>
  <c r="AR422" i="5"/>
  <c r="AO410" i="5"/>
  <c r="AJ385" i="5"/>
  <c r="AP416" i="5"/>
  <c r="AL421" i="5"/>
  <c r="AS408" i="5"/>
  <c r="AP392" i="5"/>
  <c r="AP431" i="5"/>
  <c r="AJ390" i="5"/>
  <c r="AS356" i="5"/>
  <c r="AR441" i="5"/>
  <c r="AS451" i="5"/>
  <c r="AV443" i="5"/>
  <c r="AS446" i="5"/>
  <c r="AU469" i="5"/>
  <c r="AS113" i="5"/>
  <c r="AU477" i="5"/>
  <c r="AS406" i="5"/>
  <c r="AU424" i="5"/>
  <c r="AP412" i="5"/>
  <c r="AS395" i="5"/>
  <c r="AS419" i="5"/>
  <c r="AT409" i="5"/>
  <c r="AT137" i="5"/>
  <c r="AT450" i="5"/>
  <c r="AT445" i="5"/>
  <c r="AU465" i="5"/>
  <c r="AU340" i="5"/>
  <c r="AU346" i="5"/>
  <c r="AS268" i="5"/>
  <c r="AT138" i="5"/>
  <c r="AV31" i="5"/>
  <c r="AJ429" i="5"/>
  <c r="AT393" i="5"/>
  <c r="AT412" i="5"/>
  <c r="AT399" i="5"/>
  <c r="AS444" i="5"/>
  <c r="AV452" i="5"/>
  <c r="AU458" i="5"/>
  <c r="AT371" i="5"/>
  <c r="AT360" i="5"/>
  <c r="AT443" i="5"/>
  <c r="AR471" i="5"/>
  <c r="AU84" i="5"/>
  <c r="AV117" i="5"/>
  <c r="AS379" i="5"/>
  <c r="AL419" i="5"/>
  <c r="AJ425" i="5"/>
  <c r="AR425" i="5"/>
  <c r="AJ394" i="5"/>
  <c r="AR395" i="5"/>
  <c r="AQ417" i="5"/>
  <c r="AJ400" i="5"/>
  <c r="AO421" i="5"/>
  <c r="AU423" i="5"/>
  <c r="AS421" i="5"/>
  <c r="AO391" i="5"/>
  <c r="AL226" i="5"/>
  <c r="AS378" i="5"/>
  <c r="AS131" i="5"/>
  <c r="AU436" i="5"/>
  <c r="AT120" i="5"/>
  <c r="AU347" i="5"/>
  <c r="AV265" i="5"/>
  <c r="AT468" i="5"/>
  <c r="AU89" i="5"/>
  <c r="AT351" i="5"/>
  <c r="AM389" i="5"/>
  <c r="AN336" i="5" s="1"/>
  <c r="AT430" i="5"/>
  <c r="AL420" i="5"/>
  <c r="AL408" i="5"/>
  <c r="AR391" i="5"/>
  <c r="AS416" i="5"/>
  <c r="AS388" i="5"/>
  <c r="AO403" i="5"/>
  <c r="AQ432" i="5"/>
  <c r="AM226" i="5"/>
  <c r="P226" i="5"/>
  <c r="K227" i="5"/>
  <c r="AE227" i="5"/>
  <c r="R226" i="5"/>
  <c r="AB226" i="5"/>
  <c r="R227" i="5"/>
  <c r="AS91" i="5"/>
  <c r="AR451" i="5"/>
  <c r="AT365" i="5"/>
  <c r="AR117" i="5"/>
  <c r="AR124" i="5" s="1"/>
  <c r="AT379" i="5"/>
  <c r="AT134" i="5"/>
  <c r="AT473" i="5"/>
  <c r="AS374" i="5"/>
  <c r="AV376" i="5"/>
  <c r="AU135" i="5"/>
  <c r="AR132" i="5"/>
  <c r="AR439" i="5"/>
  <c r="AR93" i="5"/>
  <c r="AS455" i="5"/>
  <c r="AO429" i="5"/>
  <c r="AL399" i="5"/>
  <c r="AO414" i="5"/>
  <c r="AL425" i="5"/>
  <c r="AQ399" i="5"/>
  <c r="AS417" i="5"/>
  <c r="AO408" i="5"/>
  <c r="AL391" i="5"/>
  <c r="AT429" i="5"/>
  <c r="AS443" i="5"/>
  <c r="AR476" i="5"/>
  <c r="AS373" i="5"/>
  <c r="AU146" i="5"/>
  <c r="AV437" i="5"/>
  <c r="AS457" i="5"/>
  <c r="AT347" i="5"/>
  <c r="AS351" i="5"/>
  <c r="AT355" i="5"/>
  <c r="AT476" i="5"/>
  <c r="AL430" i="5"/>
  <c r="AO393" i="5"/>
  <c r="AJ395" i="5"/>
  <c r="AQ422" i="5"/>
  <c r="AR388" i="5"/>
  <c r="AM421" i="5"/>
  <c r="AN368" i="5" s="1"/>
  <c r="AJ401" i="5"/>
  <c r="AQ389" i="5"/>
  <c r="AJ403" i="5"/>
  <c r="AO227" i="5"/>
  <c r="AR84" i="5"/>
  <c r="AR437" i="5"/>
  <c r="AT439" i="5"/>
  <c r="AV458" i="5"/>
  <c r="AT353" i="5"/>
  <c r="AT335" i="5"/>
  <c r="AT89" i="5"/>
  <c r="AR133" i="5"/>
  <c r="AU452" i="5"/>
  <c r="AL402" i="5"/>
  <c r="AM427" i="5"/>
  <c r="AN374" i="5" s="1"/>
  <c r="AO405" i="5"/>
  <c r="AQ394" i="5"/>
  <c r="AR430" i="5"/>
  <c r="AV453" i="5"/>
  <c r="AV448" i="5"/>
  <c r="AU470" i="5"/>
  <c r="AU33" i="5"/>
  <c r="AV337" i="5"/>
  <c r="AV352" i="5"/>
  <c r="AT352" i="5"/>
  <c r="AS448" i="5"/>
  <c r="AS423" i="5"/>
  <c r="AP401" i="5"/>
  <c r="AQ414" i="5"/>
  <c r="AU403" i="5"/>
  <c r="AR396" i="5"/>
  <c r="AM386" i="5"/>
  <c r="AN333" i="5" s="1"/>
  <c r="AV287" i="5"/>
  <c r="AV282" i="17" s="1"/>
  <c r="AT140" i="5"/>
  <c r="AR450" i="5"/>
  <c r="AS454" i="5"/>
  <c r="AV351" i="5"/>
  <c r="AV374" i="5"/>
  <c r="AU418" i="5"/>
  <c r="AM417" i="5"/>
  <c r="AN364" i="5" s="1"/>
  <c r="AO415" i="5"/>
  <c r="AL431" i="5"/>
  <c r="AS390" i="5"/>
  <c r="AT410" i="5"/>
  <c r="AT398" i="5"/>
  <c r="AU431" i="5"/>
  <c r="AS133" i="5"/>
  <c r="AR266" i="5"/>
  <c r="AV447" i="5"/>
  <c r="AS471" i="5"/>
  <c r="AT363" i="5"/>
  <c r="AV93" i="5"/>
  <c r="AT132" i="5"/>
  <c r="AU457" i="5"/>
  <c r="AU360" i="5"/>
  <c r="AO420" i="5"/>
  <c r="AJ417" i="5"/>
  <c r="AU410" i="5"/>
  <c r="AU415" i="5"/>
  <c r="AO428" i="5"/>
  <c r="AT431" i="5"/>
  <c r="AU268" i="5"/>
  <c r="AU437" i="5"/>
  <c r="AS467" i="5"/>
  <c r="AS31" i="5"/>
  <c r="AS142" i="5"/>
  <c r="AV455" i="5"/>
  <c r="AU343" i="5"/>
  <c r="AV362" i="5"/>
  <c r="AV439" i="5"/>
  <c r="AM404" i="5"/>
  <c r="AN351" i="5" s="1"/>
  <c r="AO402" i="5"/>
  <c r="AR423" i="5"/>
  <c r="AQ397" i="5"/>
  <c r="AJ430" i="5"/>
  <c r="AT427" i="5"/>
  <c r="AQ411" i="5"/>
  <c r="AN227" i="5"/>
  <c r="AU131" i="5"/>
  <c r="AT440" i="5"/>
  <c r="AS34" i="5"/>
  <c r="AS358" i="5"/>
  <c r="AV136" i="5"/>
  <c r="AS472" i="5"/>
  <c r="AU36" i="5"/>
  <c r="AS355" i="5"/>
  <c r="AU446" i="5"/>
  <c r="AL404" i="5"/>
  <c r="AU387" i="5"/>
  <c r="AO404" i="5"/>
  <c r="AU398" i="5"/>
  <c r="AP420" i="5"/>
  <c r="AR427" i="5"/>
  <c r="M227" i="5"/>
  <c r="S226" i="5"/>
  <c r="Y227" i="5"/>
  <c r="AI226" i="5"/>
  <c r="AG226" i="5"/>
  <c r="L226" i="5"/>
  <c r="AV91" i="5"/>
  <c r="AR267" i="5"/>
  <c r="AV456" i="5"/>
  <c r="AU461" i="5"/>
  <c r="AV470" i="5"/>
  <c r="AT343" i="5"/>
  <c r="AU377" i="5"/>
  <c r="AR446" i="5"/>
  <c r="AU122" i="5"/>
  <c r="AT345" i="5"/>
  <c r="AV378" i="5"/>
  <c r="AT364" i="5"/>
  <c r="AS138" i="5"/>
  <c r="AU142" i="5"/>
  <c r="AV341" i="5"/>
  <c r="AP424" i="5"/>
  <c r="AQ426" i="5"/>
  <c r="AR418" i="5"/>
  <c r="AM431" i="5"/>
  <c r="AN378" i="5" s="1"/>
  <c r="AT428" i="5"/>
  <c r="AM414" i="5"/>
  <c r="AN361" i="5" s="1"/>
  <c r="AL415" i="5"/>
  <c r="AP405" i="5"/>
  <c r="AM391" i="5"/>
  <c r="AN338" i="5" s="1"/>
  <c r="AU428" i="5"/>
  <c r="AS450" i="5"/>
  <c r="AR456" i="5"/>
  <c r="AU344" i="5"/>
  <c r="AV88" i="5"/>
  <c r="AS137" i="5"/>
  <c r="AU445" i="5"/>
  <c r="AS461" i="5"/>
  <c r="AV460" i="5"/>
  <c r="AV344" i="5"/>
  <c r="AV338" i="5"/>
  <c r="AQ396" i="5"/>
  <c r="AT419" i="5"/>
  <c r="AM422" i="5"/>
  <c r="AN369" i="5" s="1"/>
  <c r="AS415" i="5"/>
  <c r="AJ398" i="5"/>
  <c r="AP389" i="5"/>
  <c r="AR411" i="5"/>
  <c r="AL390" i="5"/>
  <c r="AO400" i="5"/>
  <c r="AU287" i="5"/>
  <c r="AU282" i="17" s="1"/>
  <c r="AU378" i="5"/>
  <c r="AR138" i="5"/>
  <c r="AV138" i="5"/>
  <c r="AS447" i="5"/>
  <c r="AV462" i="5"/>
  <c r="AV342" i="5"/>
  <c r="AU85" i="5"/>
  <c r="AR268" i="5"/>
  <c r="AU341" i="5"/>
  <c r="AJ408" i="5"/>
  <c r="AP394" i="5"/>
  <c r="AU420" i="5"/>
  <c r="AO432" i="5"/>
  <c r="AL410" i="5"/>
  <c r="AP418" i="5"/>
  <c r="AS430" i="5"/>
  <c r="AS397" i="5"/>
  <c r="AS440" i="5"/>
  <c r="AS266" i="5"/>
  <c r="AS468" i="5"/>
  <c r="AT462" i="5"/>
  <c r="AS35" i="5"/>
  <c r="AU366" i="5"/>
  <c r="AR34" i="5"/>
  <c r="AT416" i="5"/>
  <c r="AQ401" i="5"/>
  <c r="AR408" i="5"/>
  <c r="AR401" i="5"/>
  <c r="AL432" i="5"/>
  <c r="AO413" i="5"/>
  <c r="AL227" i="5"/>
  <c r="AU363" i="5"/>
  <c r="AU93" i="5"/>
  <c r="AT135" i="5"/>
  <c r="AR120" i="5"/>
  <c r="AT451" i="5"/>
  <c r="AR122" i="5"/>
  <c r="AU374" i="5"/>
  <c r="AV266" i="5"/>
  <c r="AM401" i="5"/>
  <c r="AN348" i="5" s="1"/>
  <c r="AO419" i="5"/>
  <c r="AM394" i="5"/>
  <c r="AN341" i="5" s="1"/>
  <c r="AP415" i="5"/>
  <c r="AT424" i="5"/>
  <c r="AO430" i="5"/>
  <c r="AU421" i="5"/>
  <c r="AU414" i="5"/>
  <c r="AS287" i="5"/>
  <c r="AS282" i="17" s="1"/>
  <c r="AV113" i="5"/>
  <c r="AV370" i="5"/>
  <c r="AR265" i="5"/>
  <c r="AU451" i="5"/>
  <c r="AU462" i="5"/>
  <c r="AV122" i="5"/>
  <c r="AU87" i="5"/>
  <c r="AV346" i="5"/>
  <c r="AJ406" i="5"/>
  <c r="AM423" i="5"/>
  <c r="AN370" i="5" s="1"/>
  <c r="AP399" i="5"/>
  <c r="AU425" i="5"/>
  <c r="AL392" i="5"/>
  <c r="AJ428" i="5"/>
  <c r="AR414" i="5"/>
  <c r="AU404" i="5"/>
  <c r="AR137" i="5"/>
  <c r="AT449" i="5"/>
  <c r="AV472" i="5"/>
  <c r="AS342" i="5"/>
  <c r="AR147" i="5"/>
  <c r="AT447" i="5"/>
  <c r="AS335" i="5"/>
  <c r="AV336" i="5"/>
  <c r="AM392" i="5"/>
  <c r="AN339" i="5" s="1"/>
  <c r="AP414" i="5"/>
  <c r="AS400" i="5"/>
  <c r="AS420" i="5"/>
  <c r="AR428" i="5"/>
  <c r="AL385" i="5"/>
  <c r="AT417" i="5"/>
  <c r="AR455" i="5"/>
  <c r="AT370" i="5"/>
  <c r="AT349" i="5"/>
  <c r="AT139" i="5"/>
  <c r="AR460" i="5"/>
  <c r="AR90" i="5"/>
  <c r="AV83" i="5"/>
  <c r="AS265" i="5"/>
  <c r="AV477" i="5"/>
  <c r="AT122" i="5"/>
  <c r="AJ393" i="5"/>
  <c r="AU392" i="5"/>
  <c r="AQ398" i="5"/>
  <c r="AQ410" i="5"/>
  <c r="AU389" i="5"/>
  <c r="AQ415" i="5"/>
  <c r="AS389" i="5"/>
  <c r="AJ386" i="5"/>
  <c r="Z227" i="5"/>
  <c r="AI227" i="5"/>
  <c r="V226" i="5"/>
  <c r="AF227" i="5"/>
  <c r="N226" i="5"/>
  <c r="AH226" i="5"/>
  <c r="AT91" i="5"/>
  <c r="AS33" i="5"/>
  <c r="AT375" i="5"/>
  <c r="AR445" i="5"/>
  <c r="AS474" i="5"/>
  <c r="AT346" i="5"/>
  <c r="AV87" i="5"/>
  <c r="AU368" i="5"/>
  <c r="AV86" i="5"/>
  <c r="AV464" i="5"/>
  <c r="AL422" i="5"/>
  <c r="AS410" i="5"/>
  <c r="AR406" i="5"/>
  <c r="AS431" i="5"/>
  <c r="AP393" i="5"/>
  <c r="AU391" i="5"/>
  <c r="AO399" i="5"/>
  <c r="AQ430" i="5"/>
  <c r="AU139" i="5"/>
  <c r="AS438" i="5"/>
  <c r="AV35" i="5"/>
  <c r="AT378" i="5"/>
  <c r="AT90" i="5"/>
  <c r="AR146" i="5"/>
  <c r="AT446" i="5"/>
  <c r="AR443" i="5"/>
  <c r="AT334" i="5"/>
  <c r="AT372" i="5"/>
  <c r="AR431" i="5"/>
  <c r="AT388" i="5"/>
  <c r="AP400" i="5"/>
  <c r="AT432" i="5"/>
  <c r="AQ388" i="5"/>
  <c r="AS393" i="5"/>
  <c r="AP403" i="5"/>
  <c r="AT463" i="5"/>
  <c r="AU120" i="5"/>
  <c r="AS86" i="5"/>
  <c r="AU266" i="5"/>
  <c r="AR448" i="5"/>
  <c r="AU466" i="5"/>
  <c r="AS336" i="5"/>
  <c r="AV357" i="5"/>
  <c r="AT366" i="5"/>
  <c r="AQ427" i="5"/>
  <c r="AP413" i="5"/>
  <c r="AQ403" i="5"/>
  <c r="AT390" i="5"/>
  <c r="AT422" i="5"/>
  <c r="I221" i="5"/>
  <c r="AV365" i="5"/>
  <c r="AS134" i="5"/>
  <c r="AS369" i="5"/>
  <c r="AV133" i="5"/>
  <c r="AV476" i="5"/>
  <c r="AU444" i="5"/>
  <c r="AR467" i="5"/>
  <c r="AR88" i="5"/>
  <c r="AS427" i="5"/>
  <c r="AS424" i="5"/>
  <c r="AR113" i="5"/>
  <c r="AL417" i="5"/>
  <c r="AU390" i="5"/>
  <c r="AO418" i="5"/>
  <c r="AQ419" i="5"/>
  <c r="AN226" i="5"/>
  <c r="AV335" i="5"/>
  <c r="AU88" i="5"/>
  <c r="AT357" i="5"/>
  <c r="AS347" i="5"/>
  <c r="AV372" i="5"/>
  <c r="AU134" i="5"/>
  <c r="AT469" i="5"/>
  <c r="AS349" i="5"/>
  <c r="AQ420" i="5"/>
  <c r="AQ421" i="5"/>
  <c r="AU408" i="5"/>
  <c r="AP395" i="5"/>
  <c r="AO226" i="5"/>
  <c r="AV350" i="5"/>
  <c r="AU117" i="5"/>
  <c r="AU124" i="5" s="1"/>
  <c r="AV267" i="5"/>
  <c r="AS437" i="5"/>
  <c r="AU468" i="5"/>
  <c r="AU375" i="5"/>
  <c r="AT142" i="5"/>
  <c r="AM413" i="5"/>
  <c r="AN360" i="5" s="1"/>
  <c r="AO392" i="5"/>
  <c r="AQ413" i="5"/>
  <c r="AL424" i="5"/>
  <c r="AL403" i="5"/>
  <c r="AO426" i="5"/>
  <c r="AQ405" i="5"/>
  <c r="AR389" i="5"/>
  <c r="AR83" i="5"/>
  <c r="AT93" i="5"/>
  <c r="AS453" i="5"/>
  <c r="AT475" i="5"/>
  <c r="AV375" i="5"/>
  <c r="AS348" i="5"/>
  <c r="AU267" i="5"/>
  <c r="AT472" i="5"/>
  <c r="AR136" i="5"/>
  <c r="AU353" i="5"/>
  <c r="AQ424" i="5"/>
  <c r="AS402" i="5"/>
  <c r="AT395" i="5"/>
  <c r="AU394" i="5"/>
  <c r="AT425" i="5"/>
  <c r="AO389" i="5"/>
  <c r="AM403" i="5"/>
  <c r="AN350" i="5" s="1"/>
  <c r="AU422" i="5"/>
  <c r="AS465" i="5"/>
  <c r="AR473" i="5"/>
  <c r="AU342" i="5"/>
  <c r="AU86" i="5"/>
  <c r="AV471" i="5"/>
  <c r="AT361" i="5"/>
  <c r="AS375" i="5"/>
  <c r="AR134" i="5"/>
  <c r="AU459" i="5"/>
  <c r="AS36" i="5"/>
  <c r="AR131" i="5"/>
  <c r="AL397" i="5"/>
  <c r="AS387" i="5"/>
  <c r="AT408" i="5"/>
  <c r="AU402" i="5"/>
  <c r="AL393" i="5"/>
  <c r="AR420" i="5"/>
  <c r="AS432" i="5"/>
  <c r="S227" i="5"/>
  <c r="Z226" i="5"/>
  <c r="AB227" i="5"/>
  <c r="N227" i="5"/>
  <c r="I212" i="5"/>
  <c r="Q227" i="5"/>
  <c r="AU91" i="5"/>
  <c r="AS460" i="5"/>
  <c r="AU90" i="5"/>
  <c r="AT146" i="5"/>
  <c r="AR459" i="5"/>
  <c r="AV36" i="5"/>
  <c r="AS346" i="5"/>
  <c r="AS83" i="5"/>
  <c r="AS411" i="5"/>
  <c r="AT415" i="5"/>
  <c r="AR419" i="5"/>
  <c r="AP419" i="5"/>
  <c r="AR400" i="5"/>
  <c r="AO412" i="5"/>
  <c r="I228" i="5"/>
  <c r="AV85" i="5"/>
  <c r="AR442" i="5"/>
  <c r="AV475" i="5"/>
  <c r="AU83" i="5"/>
  <c r="AT136" i="5"/>
  <c r="AT453" i="5"/>
  <c r="AV446" i="5"/>
  <c r="AS135" i="5"/>
  <c r="AS439" i="5"/>
  <c r="AS414" i="5"/>
  <c r="AQ409" i="5"/>
  <c r="AJ421" i="5"/>
  <c r="AM430" i="5"/>
  <c r="AN377" i="5" s="1"/>
  <c r="AR412" i="5"/>
  <c r="AT392" i="5"/>
  <c r="AR472" i="5"/>
  <c r="AS345" i="5"/>
  <c r="AV349" i="5"/>
  <c r="AV90" i="5"/>
  <c r="AU147" i="5"/>
  <c r="AV457" i="5"/>
  <c r="AS475" i="5"/>
  <c r="AU365" i="5"/>
  <c r="AU355" i="5"/>
  <c r="AS449" i="5"/>
  <c r="AR398" i="5"/>
  <c r="AM418" i="5"/>
  <c r="AN365" i="5" s="1"/>
  <c r="AQ423" i="5"/>
  <c r="AJ423" i="5"/>
  <c r="AU412" i="5"/>
  <c r="AO406" i="5"/>
  <c r="I220" i="5"/>
  <c r="AT376" i="5"/>
  <c r="AT85" i="5"/>
  <c r="AT373" i="5"/>
  <c r="AS90" i="5"/>
  <c r="AS442" i="5"/>
  <c r="AT448" i="5"/>
  <c r="AU439" i="5"/>
  <c r="AS32" i="5"/>
  <c r="AT341" i="5"/>
  <c r="AS412" i="5"/>
  <c r="AT401" i="5"/>
  <c r="AL413" i="5"/>
  <c r="AJ409" i="5"/>
  <c r="AP408" i="5"/>
  <c r="AR399" i="5"/>
  <c r="AT466" i="5"/>
  <c r="AV340" i="5"/>
  <c r="AS93" i="5"/>
  <c r="AT339" i="5"/>
  <c r="AU370" i="5"/>
  <c r="AT268" i="5"/>
  <c r="AV445" i="5"/>
  <c r="AV369" i="5"/>
  <c r="AR142" i="5"/>
  <c r="AT411" i="5"/>
  <c r="AR392" i="5"/>
  <c r="AJ387" i="5"/>
  <c r="AP226" i="5"/>
  <c r="AT362" i="5"/>
  <c r="AV339" i="5"/>
  <c r="AV348" i="5"/>
  <c r="AT374" i="5"/>
  <c r="AS136" i="5"/>
  <c r="AS441" i="5"/>
  <c r="AV33" i="5"/>
  <c r="AV379" i="5"/>
  <c r="AV463" i="5"/>
  <c r="AP428" i="5"/>
  <c r="AS413" i="5"/>
  <c r="AO397" i="5"/>
  <c r="AL386" i="5"/>
  <c r="AO424" i="5"/>
  <c r="AQ390" i="5"/>
  <c r="AJ413" i="5"/>
  <c r="AR394" i="5"/>
  <c r="AS425" i="5"/>
  <c r="AP391" i="5"/>
  <c r="I218" i="5"/>
  <c r="AT369" i="5"/>
  <c r="AV131" i="5"/>
  <c r="AV438" i="5"/>
  <c r="AU32" i="5"/>
  <c r="AU356" i="5"/>
  <c r="AV147" i="5"/>
  <c r="AR454" i="5"/>
  <c r="AS344" i="5"/>
  <c r="AR461" i="5"/>
  <c r="AR421" i="5"/>
  <c r="AT406" i="5"/>
  <c r="AT420" i="5"/>
  <c r="AQ431" i="5"/>
  <c r="AL388" i="5"/>
  <c r="AP421" i="5"/>
  <c r="AU413" i="5"/>
  <c r="AS392" i="5"/>
  <c r="AU453" i="5"/>
  <c r="AV454" i="5"/>
  <c r="AS363" i="5"/>
  <c r="AT444" i="5"/>
  <c r="AU472" i="5"/>
  <c r="AT344" i="5"/>
  <c r="AS89" i="5"/>
  <c r="AV444" i="5"/>
  <c r="AU448" i="5"/>
  <c r="AV268" i="5"/>
  <c r="AT414" i="5"/>
  <c r="AM400" i="5"/>
  <c r="AN347" i="5" s="1"/>
  <c r="AM396" i="5"/>
  <c r="AN343" i="5" s="1"/>
  <c r="AU396" i="5"/>
  <c r="AT402" i="5"/>
  <c r="AH227" i="5"/>
  <c r="V227" i="5"/>
  <c r="AC226" i="5"/>
  <c r="W227" i="5"/>
  <c r="K226" i="5"/>
  <c r="T227" i="5"/>
  <c r="AD227" i="5"/>
  <c r="AR91" i="5"/>
  <c r="AV468" i="5"/>
  <c r="AV377" i="5"/>
  <c r="AU133" i="5"/>
  <c r="AU450" i="5"/>
  <c r="AV459" i="5"/>
  <c r="AR474" i="5"/>
  <c r="AT36" i="5"/>
  <c r="AR140" i="5"/>
  <c r="AV135" i="5"/>
  <c r="AU401" i="5"/>
  <c r="AT421" i="5"/>
  <c r="AM416" i="5"/>
  <c r="AN363" i="5" s="1"/>
  <c r="AS405" i="5"/>
  <c r="AS398" i="5"/>
  <c r="AP409" i="5"/>
  <c r="AQ226" i="5"/>
  <c r="AU352" i="5"/>
  <c r="AR141" i="5"/>
  <c r="AU460" i="5"/>
  <c r="AU349" i="5"/>
  <c r="AS352" i="5"/>
  <c r="AR436" i="5"/>
  <c r="AV146" i="5"/>
  <c r="AT470" i="5"/>
  <c r="AU31" i="5"/>
  <c r="AT405" i="5"/>
  <c r="AJ388" i="5"/>
  <c r="AR410" i="5"/>
  <c r="AM426" i="5"/>
  <c r="AN373" i="5" s="1"/>
  <c r="AJ431" i="5"/>
  <c r="AO422" i="5"/>
  <c r="AS391" i="5"/>
  <c r="AT389" i="5"/>
  <c r="AU397" i="5"/>
  <c r="AU454" i="5"/>
  <c r="AR36" i="5"/>
  <c r="AR87" i="5"/>
  <c r="AU357" i="5"/>
  <c r="AV140" i="5"/>
  <c r="AS132" i="5"/>
  <c r="AR477" i="5"/>
  <c r="AT338" i="5"/>
  <c r="AS365" i="5"/>
  <c r="AT336" i="5"/>
  <c r="AT400" i="5"/>
  <c r="AP430" i="5"/>
  <c r="AL395" i="5"/>
  <c r="AJ418" i="5"/>
  <c r="AM408" i="5"/>
  <c r="AN355" i="5" s="1"/>
  <c r="AP411" i="5"/>
  <c r="AK227" i="5"/>
  <c r="AS350" i="5"/>
  <c r="AU348" i="5"/>
  <c r="AS338" i="5"/>
  <c r="AV355" i="5"/>
  <c r="AT141" i="5"/>
  <c r="AS371" i="5"/>
  <c r="AV441" i="5"/>
  <c r="AV347" i="5"/>
  <c r="AU138" i="5"/>
  <c r="AM420" i="5"/>
  <c r="AN367" i="5" s="1"/>
  <c r="AU393" i="5"/>
  <c r="AU399" i="5"/>
  <c r="AJ426" i="5"/>
  <c r="AM412" i="5"/>
  <c r="AN359" i="5" s="1"/>
  <c r="AL416" i="5"/>
  <c r="AR403" i="5"/>
  <c r="AV450" i="5"/>
  <c r="AU35" i="5"/>
  <c r="AS337" i="5"/>
  <c r="AU338" i="5"/>
  <c r="AV84" i="5"/>
  <c r="AT359" i="5"/>
  <c r="AU265" i="5"/>
  <c r="AU474" i="5"/>
  <c r="AU463" i="5"/>
  <c r="AM424" i="5"/>
  <c r="AN371" i="5" s="1"/>
  <c r="AS401" i="5"/>
  <c r="AL411" i="5"/>
  <c r="AP397" i="5"/>
  <c r="AO390" i="5"/>
  <c r="AM410" i="5"/>
  <c r="AN357" i="5" s="1"/>
  <c r="AP388" i="5"/>
  <c r="AT465" i="5"/>
  <c r="AV361" i="5"/>
  <c r="AS372" i="5"/>
  <c r="AT83" i="5"/>
  <c r="AS456" i="5"/>
  <c r="AU456" i="5"/>
  <c r="AS376" i="5"/>
  <c r="AS359" i="5"/>
  <c r="AQ404" i="5"/>
  <c r="AS409" i="5"/>
  <c r="AL400" i="5"/>
  <c r="AP404" i="5"/>
  <c r="AJ415" i="5"/>
  <c r="AQ391" i="5"/>
  <c r="AR432" i="5"/>
  <c r="AR426" i="5"/>
  <c r="AQ418" i="5"/>
  <c r="AM227" i="5"/>
  <c r="AT340" i="5"/>
  <c r="AS362" i="5"/>
  <c r="AV120" i="5"/>
  <c r="AV137" i="5"/>
  <c r="AT458" i="5"/>
  <c r="AT377" i="5"/>
  <c r="AV132" i="5"/>
  <c r="AT442" i="5"/>
  <c r="AV34" i="5"/>
  <c r="AU372" i="5"/>
  <c r="AL398" i="5"/>
  <c r="AU388" i="5"/>
  <c r="AL429" i="5"/>
  <c r="AT387" i="5"/>
  <c r="AQ392" i="5"/>
  <c r="AT423" i="5"/>
  <c r="AT265" i="5"/>
  <c r="AR440" i="5"/>
  <c r="AT31" i="5"/>
  <c r="AT467" i="5"/>
  <c r="AT457" i="5"/>
  <c r="AU339" i="5"/>
  <c r="AS377" i="5"/>
  <c r="AV451" i="5"/>
  <c r="AR33" i="5"/>
  <c r="AS469" i="5"/>
  <c r="AL409" i="5"/>
  <c r="AU409" i="5"/>
  <c r="AJ410" i="5"/>
  <c r="AP387" i="5"/>
  <c r="AM397" i="5"/>
  <c r="AN344" i="5" s="1"/>
  <c r="AP396" i="5"/>
  <c r="AJ396" i="5"/>
  <c r="AM429" i="5"/>
  <c r="AN376" i="5" s="1"/>
  <c r="AK226" i="5"/>
  <c r="X226" i="5"/>
  <c r="M226" i="5"/>
  <c r="U227" i="5"/>
  <c r="AA227" i="5"/>
  <c r="AG227" i="5"/>
  <c r="AF226" i="5"/>
  <c r="L227" i="5"/>
  <c r="AV465" i="5"/>
  <c r="AU337" i="5"/>
  <c r="AT350" i="5"/>
  <c r="AV449" i="5"/>
  <c r="AR470" i="5"/>
  <c r="AU455" i="5"/>
  <c r="AR465" i="5"/>
  <c r="AU334" i="5"/>
  <c r="AS466" i="5"/>
  <c r="AU426" i="5"/>
  <c r="AP429" i="5"/>
  <c r="AT403" i="5"/>
  <c r="AT426" i="5"/>
  <c r="AQ412" i="5"/>
  <c r="AT287" i="5"/>
  <c r="AT282" i="17" s="1"/>
  <c r="AS88" i="5"/>
  <c r="AS452" i="5"/>
  <c r="AR32" i="5"/>
  <c r="AS370" i="5"/>
  <c r="AR89" i="5"/>
  <c r="AU369" i="5"/>
  <c r="AV89" i="5"/>
  <c r="AS418" i="5"/>
  <c r="AO425" i="5"/>
  <c r="AP422" i="5"/>
  <c r="AL387" i="5"/>
  <c r="AT437" i="5"/>
  <c r="AS463" i="5"/>
  <c r="AT32" i="5"/>
  <c r="AU335" i="5"/>
  <c r="AU367" i="5"/>
  <c r="AS353" i="5"/>
  <c r="AU440" i="5"/>
  <c r="AR468" i="5"/>
  <c r="AT337" i="5"/>
  <c r="AU442" i="5"/>
  <c r="AU400" i="5"/>
  <c r="AQ393" i="5"/>
  <c r="AL426" i="5"/>
  <c r="AO411" i="5"/>
  <c r="AR417" i="5"/>
  <c r="AS459" i="5"/>
  <c r="AS341" i="5"/>
  <c r="AV353" i="5"/>
  <c r="AU358" i="5"/>
  <c r="AS139" i="5"/>
  <c r="AR139" i="5"/>
  <c r="AR469" i="5"/>
  <c r="AM402" i="5"/>
  <c r="AN349" i="5" s="1"/>
  <c r="AP432" i="5"/>
  <c r="AJ427" i="5"/>
  <c r="AM425" i="5"/>
  <c r="AN372" i="5" s="1"/>
  <c r="AM406" i="5"/>
  <c r="AN353" i="5" s="1"/>
  <c r="AO417" i="5"/>
  <c r="AL428" i="5"/>
  <c r="AJ399" i="5"/>
  <c r="AJ416" i="5"/>
  <c r="AT396" i="5"/>
  <c r="AT131" i="5"/>
  <c r="AU464" i="5"/>
  <c r="AS343" i="5"/>
  <c r="AV469" i="5"/>
  <c r="AT455" i="5"/>
  <c r="AS357" i="5"/>
  <c r="AS146" i="5"/>
  <c r="AS366" i="5"/>
  <c r="AO409" i="5"/>
  <c r="AJ404" i="5"/>
  <c r="AM405" i="5"/>
  <c r="AN352" i="5" s="1"/>
  <c r="AR402" i="5"/>
  <c r="AQ428" i="5"/>
  <c r="AL414" i="5"/>
  <c r="AQ400" i="5"/>
  <c r="AV473" i="5"/>
  <c r="AR31" i="5"/>
  <c r="AT471" i="5"/>
  <c r="AT342" i="5"/>
  <c r="AS87" i="5"/>
  <c r="AV358" i="5"/>
  <c r="AU140" i="5"/>
  <c r="AV466" i="5"/>
  <c r="AR35" i="5"/>
  <c r="AU113" i="5"/>
  <c r="AS428" i="5"/>
  <c r="AU429" i="5"/>
  <c r="AR409" i="5"/>
  <c r="AR390" i="5"/>
  <c r="AS394" i="5"/>
  <c r="AR415" i="5"/>
  <c r="AJ226" i="5"/>
  <c r="AS360" i="5"/>
  <c r="AS368" i="5"/>
  <c r="AR85" i="5"/>
  <c r="AS470" i="5"/>
  <c r="AU350" i="5"/>
  <c r="AS117" i="5"/>
  <c r="AT266" i="5"/>
  <c r="AU441" i="5"/>
  <c r="AV363" i="5"/>
  <c r="AJ414" i="5"/>
  <c r="AO431" i="5"/>
  <c r="AU432" i="5"/>
  <c r="AO394" i="5"/>
  <c r="AL396" i="5"/>
  <c r="AJ391" i="5"/>
  <c r="AT391" i="5"/>
  <c r="AR413" i="5"/>
  <c r="AU405" i="5"/>
  <c r="AR86" i="5"/>
  <c r="AR447" i="5"/>
  <c r="AT474" i="5"/>
  <c r="AU371" i="5"/>
  <c r="AR449" i="5"/>
  <c r="AS122" i="5"/>
  <c r="AS85" i="5"/>
  <c r="AO427" i="5"/>
  <c r="AM409" i="5"/>
  <c r="AN356" i="5" s="1"/>
  <c r="AU430" i="5"/>
  <c r="AJ432" i="5"/>
  <c r="AQ387" i="5"/>
  <c r="AJ411" i="5"/>
  <c r="AQ402" i="5"/>
  <c r="AO423" i="5"/>
  <c r="AR287" i="5"/>
  <c r="P227" i="5"/>
  <c r="AA226" i="5"/>
  <c r="Y226" i="5"/>
  <c r="U226" i="5"/>
  <c r="AE226" i="5"/>
  <c r="AC227" i="5"/>
  <c r="AV75" i="107"/>
  <c r="AR363" i="5"/>
  <c r="AR351" i="5"/>
  <c r="AR376" i="5"/>
  <c r="AR366" i="5"/>
  <c r="AR350" i="5"/>
  <c r="AR378" i="5"/>
  <c r="AR358" i="5"/>
  <c r="AR375" i="5"/>
  <c r="AR379" i="5"/>
  <c r="AR362" i="5"/>
  <c r="AR349" i="5"/>
  <c r="AR372" i="5"/>
  <c r="AR357" i="5"/>
  <c r="AR346" i="5"/>
  <c r="AR348" i="5"/>
  <c r="AR352" i="5"/>
  <c r="AR364" i="5"/>
  <c r="AR370" i="5"/>
  <c r="AR361" i="5"/>
  <c r="AR347" i="5"/>
  <c r="AR360" i="5"/>
  <c r="AR374" i="5"/>
  <c r="AR344" i="5"/>
  <c r="AR355" i="5"/>
  <c r="AR356" i="5"/>
  <c r="AR365" i="5"/>
  <c r="AR368" i="5"/>
  <c r="AR353" i="5"/>
  <c r="AR371" i="5"/>
  <c r="AR359" i="5"/>
  <c r="AR367" i="5"/>
  <c r="AR345" i="5"/>
  <c r="AR369" i="5"/>
  <c r="AR377" i="5"/>
  <c r="AR373" i="5"/>
  <c r="AT17" i="106"/>
  <c r="AO75" i="106"/>
  <c r="AT25" i="106"/>
  <c r="AV25" i="106"/>
  <c r="AT75" i="106"/>
  <c r="AU75" i="106"/>
  <c r="AQ75" i="106"/>
  <c r="AR75" i="106"/>
  <c r="AS75" i="106"/>
  <c r="AU25" i="106"/>
  <c r="AP75" i="106"/>
  <c r="AR25" i="106"/>
  <c r="AS25" i="106"/>
  <c r="E112" i="106"/>
  <c r="E370" i="5"/>
  <c r="E363" i="5"/>
  <c r="E105" i="106"/>
  <c r="E364" i="5"/>
  <c r="E106" i="106"/>
  <c r="E347" i="5"/>
  <c r="E89" i="106"/>
  <c r="E95" i="106"/>
  <c r="E353" i="5"/>
  <c r="E345" i="5"/>
  <c r="E87" i="106"/>
  <c r="E334" i="5"/>
  <c r="E76" i="106"/>
  <c r="E372" i="5"/>
  <c r="E114" i="106"/>
  <c r="E111" i="106"/>
  <c r="E369" i="5"/>
  <c r="E110" i="106"/>
  <c r="E368" i="5"/>
  <c r="E361" i="5"/>
  <c r="E103" i="106"/>
  <c r="E120" i="106"/>
  <c r="E378" i="5"/>
  <c r="E371" i="5"/>
  <c r="E113" i="106"/>
  <c r="E367" i="5"/>
  <c r="E109" i="106"/>
  <c r="E78" i="106"/>
  <c r="E336" i="5"/>
  <c r="E376" i="5"/>
  <c r="E118" i="106"/>
  <c r="E341" i="5"/>
  <c r="E83" i="106"/>
  <c r="E342" i="5"/>
  <c r="E84" i="106"/>
  <c r="E88" i="106"/>
  <c r="E346" i="5"/>
  <c r="E339" i="5"/>
  <c r="E81" i="106"/>
  <c r="E348" i="5"/>
  <c r="E90" i="106"/>
  <c r="E333" i="5"/>
  <c r="E75" i="106"/>
  <c r="E115" i="106"/>
  <c r="E373" i="5"/>
  <c r="E74" i="106"/>
  <c r="E332" i="5"/>
  <c r="E100" i="106"/>
  <c r="E358" i="5"/>
  <c r="E375" i="5"/>
  <c r="E117" i="106"/>
  <c r="E356" i="5"/>
  <c r="E98" i="106"/>
  <c r="E344" i="5"/>
  <c r="E86" i="106"/>
  <c r="E116" i="106"/>
  <c r="E374" i="5"/>
  <c r="E352" i="5"/>
  <c r="E94" i="106"/>
  <c r="E337" i="5"/>
  <c r="E79" i="106"/>
  <c r="E101" i="106"/>
  <c r="E359" i="5"/>
  <c r="E85" i="106"/>
  <c r="E343" i="5"/>
  <c r="E362" i="5"/>
  <c r="E104" i="106"/>
  <c r="E351" i="5"/>
  <c r="E93" i="106"/>
  <c r="E338" i="5"/>
  <c r="E80" i="106"/>
  <c r="E340" i="5"/>
  <c r="E82" i="106"/>
  <c r="E92" i="106"/>
  <c r="E350" i="5"/>
  <c r="E360" i="5"/>
  <c r="E102" i="106"/>
  <c r="E97" i="106"/>
  <c r="E355" i="5"/>
  <c r="E379" i="5"/>
  <c r="E121" i="106"/>
  <c r="E91" i="106"/>
  <c r="E349" i="5"/>
  <c r="E377" i="5"/>
  <c r="E119" i="106"/>
  <c r="E357" i="5"/>
  <c r="E99" i="106"/>
  <c r="E77" i="106"/>
  <c r="E335" i="5"/>
  <c r="E365" i="5"/>
  <c r="E107" i="106"/>
  <c r="E108" i="106"/>
  <c r="E366" i="5"/>
  <c r="AR338" i="5"/>
  <c r="AR342" i="5"/>
  <c r="AR337" i="5"/>
  <c r="AR340" i="5"/>
  <c r="AR341" i="5"/>
  <c r="AR339" i="5"/>
  <c r="AR334" i="5"/>
  <c r="AR343" i="5"/>
  <c r="AR335" i="5"/>
  <c r="AR336" i="5"/>
  <c r="AT76" i="6" l="1"/>
  <c r="AU76" i="6"/>
  <c r="AS76" i="6"/>
  <c r="AR76" i="6"/>
  <c r="AV76" i="6"/>
  <c r="AT151" i="5"/>
  <c r="AU97" i="5"/>
  <c r="AS97" i="5"/>
  <c r="AT97" i="5"/>
  <c r="AR97" i="5"/>
  <c r="AV97" i="5"/>
  <c r="AT149" i="5"/>
  <c r="AP351" i="5"/>
  <c r="AV151" i="5"/>
  <c r="AT124" i="5"/>
  <c r="AO369" i="5"/>
  <c r="AO377" i="5"/>
  <c r="AS124" i="5"/>
  <c r="AV124" i="5"/>
  <c r="AS149" i="5"/>
  <c r="AR149" i="5"/>
  <c r="AV144" i="5"/>
  <c r="AP334" i="5"/>
  <c r="AT143" i="5"/>
  <c r="AP371" i="5"/>
  <c r="AR282" i="17"/>
  <c r="AR151" i="5"/>
  <c r="AP374" i="5"/>
  <c r="AP360" i="5"/>
  <c r="AO364" i="5"/>
  <c r="AU143" i="5"/>
  <c r="AP359" i="5"/>
  <c r="AO362" i="5"/>
  <c r="AO343" i="5"/>
  <c r="AO378" i="5"/>
  <c r="AO356" i="5"/>
  <c r="AS151" i="5"/>
  <c r="AS144" i="5"/>
  <c r="AO341" i="5"/>
  <c r="AP341" i="5"/>
  <c r="AP355" i="5"/>
  <c r="AO336" i="5"/>
  <c r="AO368" i="5"/>
  <c r="AO337" i="5"/>
  <c r="AO358" i="5"/>
  <c r="AO373" i="5"/>
  <c r="AO345" i="5"/>
  <c r="AO350" i="5"/>
  <c r="AO363" i="5"/>
  <c r="AO374" i="5"/>
  <c r="AP340" i="5"/>
  <c r="AV149" i="5"/>
  <c r="AP367" i="5"/>
  <c r="AP344" i="5"/>
  <c r="AP358" i="5"/>
  <c r="AO349" i="5"/>
  <c r="AS143" i="5"/>
  <c r="AO339" i="5"/>
  <c r="AO351" i="5"/>
  <c r="AO344" i="5"/>
  <c r="AO357" i="5"/>
  <c r="AU144" i="5"/>
  <c r="AO379" i="5"/>
  <c r="AO367" i="5"/>
  <c r="AO375" i="5"/>
  <c r="AT144" i="5"/>
  <c r="AO348" i="5"/>
  <c r="AU149" i="5"/>
  <c r="AO376" i="5"/>
  <c r="AO372" i="5"/>
  <c r="AP353" i="5"/>
  <c r="AP347" i="5"/>
  <c r="AO371" i="5"/>
  <c r="AP343" i="5"/>
  <c r="AP373" i="5"/>
  <c r="AP361" i="5"/>
  <c r="AP349" i="5"/>
  <c r="AP376" i="5"/>
  <c r="AP357" i="5"/>
  <c r="AO370" i="5"/>
  <c r="AP369" i="5"/>
  <c r="AP356" i="5"/>
  <c r="AP364" i="5"/>
  <c r="AP379" i="5"/>
  <c r="AP335" i="5"/>
  <c r="AP350" i="5"/>
  <c r="AO340" i="5"/>
  <c r="AO359" i="5"/>
  <c r="AO347" i="5"/>
  <c r="AP339" i="5"/>
  <c r="AU151" i="5"/>
  <c r="AP368" i="5"/>
  <c r="AV143" i="5"/>
  <c r="AO355" i="5"/>
  <c r="AO353" i="5"/>
  <c r="AP370" i="5"/>
  <c r="AO346" i="5"/>
  <c r="AO342" i="5"/>
  <c r="AO366" i="5"/>
  <c r="AO338" i="5"/>
  <c r="AP345" i="5"/>
  <c r="AP337" i="5"/>
  <c r="AO365" i="5"/>
  <c r="AP336" i="5"/>
  <c r="AP342" i="5"/>
  <c r="AR143" i="5"/>
  <c r="AR144" i="5"/>
  <c r="AP338" i="5"/>
  <c r="AP346" i="5"/>
  <c r="AP378" i="5"/>
  <c r="AO334" i="5"/>
  <c r="AU333" i="5"/>
  <c r="AO386" i="5"/>
  <c r="AO360" i="5"/>
  <c r="AO361" i="5"/>
  <c r="AS386" i="5"/>
  <c r="AP372" i="5"/>
  <c r="AP366" i="5"/>
  <c r="AR386" i="5"/>
  <c r="AO335" i="5"/>
  <c r="AQ386" i="5"/>
  <c r="AT33" i="5"/>
  <c r="AP377" i="5"/>
  <c r="AP365" i="5"/>
  <c r="AP362" i="5"/>
  <c r="AS333" i="5"/>
  <c r="AT386" i="5"/>
  <c r="AP352" i="5"/>
  <c r="AP375" i="5"/>
  <c r="AP363" i="5"/>
  <c r="AO352" i="5"/>
  <c r="AV333" i="5"/>
  <c r="AP348" i="5"/>
  <c r="AU386" i="5"/>
  <c r="AP386" i="5"/>
  <c r="AT333" i="5"/>
  <c r="AR21" i="106"/>
  <c r="AT21" i="106"/>
  <c r="AR333" i="5"/>
  <c r="AV21" i="106"/>
  <c r="AT24" i="106"/>
  <c r="AU21" i="106"/>
  <c r="AR24" i="106"/>
  <c r="AS21" i="106"/>
  <c r="AT37" i="5" l="1"/>
  <c r="AR37" i="5"/>
  <c r="AV37" i="5"/>
  <c r="AU37" i="5"/>
  <c r="AP333" i="5"/>
  <c r="AO333" i="5"/>
  <c r="AT332" i="5"/>
  <c r="AS37" i="5"/>
  <c r="AS24" i="106"/>
  <c r="AU24" i="106"/>
  <c r="AV24" i="106"/>
  <c r="AR74" i="106"/>
  <c r="AQ74" i="106"/>
  <c r="AO74" i="106"/>
  <c r="AT74" i="106"/>
  <c r="AS74" i="106"/>
  <c r="AP74" i="106"/>
  <c r="AU74" i="106"/>
  <c r="AR332" i="5"/>
  <c r="AU332" i="5" l="1"/>
  <c r="AP385" i="5"/>
  <c r="AS332" i="5"/>
  <c r="AV332" i="5"/>
  <c r="AS385" i="5"/>
  <c r="AT385" i="5"/>
  <c r="AO385" i="5"/>
  <c r="AU385" i="5"/>
  <c r="AQ385" i="5"/>
  <c r="AR315" i="5" s="1" a="1"/>
  <c r="AR315" i="5" s="1"/>
  <c r="AR385" i="5"/>
  <c r="AR323" i="5" a="1"/>
  <c r="AR323" i="5" s="1"/>
  <c r="AS322" i="5" l="1" a="1"/>
  <c r="AS322" i="5" s="1"/>
  <c r="AR313" i="5" a="1"/>
  <c r="AR313" i="5" s="1"/>
  <c r="AS324" i="5" a="1"/>
  <c r="AS324" i="5" s="1"/>
  <c r="AP332" i="5"/>
  <c r="AO332" i="5"/>
  <c r="AP381"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0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N24" i="32" s="1"/>
  <c r="N188" i="5" s="1"/>
  <c r="AP39" i="32"/>
  <c r="AS39" i="32"/>
  <c r="AF42" i="32"/>
  <c r="L43" i="32"/>
  <c r="P40" i="32"/>
  <c r="M40" i="32"/>
  <c r="M29" i="32"/>
  <c r="N30" i="32" s="1"/>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O30"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P30" i="3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O24" i="32"/>
  <c r="O188"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7" i="32" l="1"/>
  <c r="O189" i="5" s="1"/>
  <c r="S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D8" i="107" s="1"/>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J8" i="107" s="1"/>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7"/>
  <c r="U8" i="107"/>
  <c r="K8" i="107"/>
  <c r="N8" i="107"/>
  <c r="V8" i="107"/>
  <c r="L8" i="107"/>
  <c r="O8" i="107"/>
  <c r="W8" i="107"/>
  <c r="M8" i="107"/>
  <c r="Q8" i="107"/>
  <c r="P8" i="107"/>
  <c r="R8" i="10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F8" i="107" l="1"/>
  <c r="AL196" i="5"/>
  <c r="AK8" i="107"/>
  <c r="AG8" i="107"/>
  <c r="AE8" i="107"/>
  <c r="AH8" i="107"/>
  <c r="AC8" i="107"/>
  <c r="AM196" i="5"/>
  <c r="X8" i="107"/>
  <c r="AB8" i="107"/>
  <c r="AI8" i="107"/>
  <c r="Z8" i="107"/>
  <c r="AM8" i="107"/>
  <c r="E217" i="12"/>
  <c r="AN8" i="107"/>
  <c r="AA8" i="107"/>
  <c r="Y8" i="10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07"/>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8" i="106"/>
  <c r="AV278" i="106"/>
  <c r="AS278" i="106"/>
  <c r="AU278" i="106"/>
  <c r="I241" i="106"/>
  <c r="AR278"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2" i="5"/>
  <c r="AC229" i="5"/>
  <c r="AC24" i="12" s="1"/>
  <c r="R229" i="5"/>
  <c r="R24" i="12" s="1"/>
  <c r="N230" i="5"/>
  <c r="P229" i="5"/>
  <c r="P24" i="12" s="1"/>
  <c r="I219" i="5"/>
  <c r="AH229" i="5"/>
  <c r="AH24" i="12" s="1"/>
  <c r="R230" i="5"/>
  <c r="U230" i="5"/>
  <c r="AU282" i="5"/>
  <c r="X229" i="5"/>
  <c r="X24" i="12" s="1"/>
  <c r="T230" i="5"/>
  <c r="L229" i="5"/>
  <c r="L24" i="12" s="1"/>
  <c r="T229" i="5"/>
  <c r="T24" i="12" s="1"/>
  <c r="AS282" i="5"/>
  <c r="AD229" i="5"/>
  <c r="AD24" i="12" s="1"/>
  <c r="S229" i="5"/>
  <c r="S24" i="12" s="1"/>
  <c r="AC230" i="5"/>
  <c r="O229" i="5"/>
  <c r="O24" i="12" s="1"/>
  <c r="AV282" i="5"/>
  <c r="AH230" i="5"/>
  <c r="AG230" i="5"/>
  <c r="U229" i="5"/>
  <c r="U24" i="12" s="1"/>
  <c r="AD230" i="5"/>
  <c r="AT282"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7" l="1"/>
  <c r="AR26" i="126"/>
  <c r="AR146" i="126" s="1"/>
  <c r="AR68" i="126"/>
  <c r="AR152" i="126" s="1"/>
  <c r="AR135" i="126"/>
  <c r="AR166" i="126" s="1"/>
  <c r="AP8" i="106"/>
  <c r="AQ8" i="106"/>
  <c r="AR15" i="15"/>
  <c r="AR16" i="101"/>
  <c r="AR17" i="17"/>
  <c r="M316" i="33"/>
  <c r="M317" i="33" s="1"/>
  <c r="AP194" i="5"/>
  <c r="AQ194" i="5"/>
  <c r="AP8" i="107" l="1"/>
  <c r="AQ8" i="107"/>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7"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07"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07"/>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07"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6"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6" i="5"/>
  <c r="AS305"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6" i="5"/>
  <c r="AR305"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6" i="5"/>
  <c r="AV305"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6" i="5"/>
  <c r="AU305"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80" i="5"/>
  <c r="AT305" i="5"/>
  <c r="AV310"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0"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80"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8" i="5"/>
  <c r="AV307" i="5"/>
  <c r="AU309" i="5"/>
  <c r="AU308" i="5"/>
  <c r="AS304" i="5"/>
  <c r="AU310" i="5"/>
  <c r="AU56" i="12"/>
  <c r="AT57" i="12"/>
  <c r="O211" i="12"/>
  <c r="P211" i="12" s="1"/>
  <c r="AV309" i="5"/>
  <c r="AS307" i="5"/>
  <c r="AU304" i="5"/>
  <c r="AR310"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4" i="5"/>
  <c r="AT304"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9" i="5"/>
  <c r="AT307" i="5"/>
  <c r="AR308" i="5"/>
  <c r="M154" i="12"/>
  <c r="N154" i="12" s="1"/>
  <c r="AR309" i="5"/>
  <c r="AT308" i="5"/>
  <c r="V217" i="12"/>
  <c r="W217" i="12" s="1"/>
  <c r="L193" i="12"/>
  <c r="AU307" i="5"/>
  <c r="AQ58" i="101"/>
  <c r="AR59" i="15"/>
  <c r="AQ74" i="101"/>
  <c r="AQ76" i="101" s="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80" i="5"/>
  <c r="AT380"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4" i="5" a="1"/>
  <c r="AU314" i="5" s="1"/>
  <c r="AU42" i="5" s="1"/>
  <c r="AU13" i="2" s="1"/>
  <c r="AU315" i="5" a="1"/>
  <c r="AU315" i="5" s="1"/>
  <c r="AU43" i="5" s="1"/>
  <c r="AU14" i="2" s="1"/>
  <c r="AV324" i="5" a="1"/>
  <c r="AV324" i="5" s="1"/>
  <c r="AV53" i="5" s="1"/>
  <c r="AV25" i="2" s="1"/>
  <c r="AV66" i="2" s="1"/>
  <c r="AR325" i="5" a="1"/>
  <c r="AR325" i="5" s="1"/>
  <c r="AR54" i="5" s="1"/>
  <c r="AR26" i="2" s="1"/>
  <c r="AR314" i="5" a="1"/>
  <c r="AR314" i="5" s="1"/>
  <c r="AR42" i="5" s="1"/>
  <c r="AR13" i="2" s="1"/>
  <c r="AT319" i="5" a="1"/>
  <c r="AT319" i="5" s="1"/>
  <c r="AT47" i="5" s="1"/>
  <c r="AT18" i="2" s="1"/>
  <c r="AT315" i="5" a="1"/>
  <c r="AT315" i="5" s="1"/>
  <c r="AT43" i="5" s="1"/>
  <c r="AT14" i="2" s="1"/>
  <c r="AS53" i="5"/>
  <c r="AS25" i="2" s="1"/>
  <c r="AS66" i="2" s="1"/>
  <c r="AS313" i="5" a="1"/>
  <c r="AS313" i="5" s="1"/>
  <c r="AS41" i="5" s="1"/>
  <c r="AS12" i="2" s="1"/>
  <c r="AU316" i="5" a="1"/>
  <c r="AU316" i="5" s="1"/>
  <c r="AU44" i="5" s="1"/>
  <c r="AU15" i="2" s="1"/>
  <c r="AV326" i="5" a="1"/>
  <c r="AV326" i="5" s="1"/>
  <c r="AV55" i="5" s="1"/>
  <c r="AV27" i="2" s="1"/>
  <c r="AV68" i="2" s="1"/>
  <c r="AR328" i="5" a="1"/>
  <c r="AR328" i="5" s="1"/>
  <c r="AR57" i="5" s="1"/>
  <c r="AR29" i="2" s="1"/>
  <c r="AR324" i="5" a="1"/>
  <c r="AR324" i="5" s="1"/>
  <c r="AR53" i="5" s="1"/>
  <c r="AR25" i="2" s="1"/>
  <c r="AT328" i="5" a="1"/>
  <c r="AT328" i="5" s="1"/>
  <c r="AT57" i="5" s="1"/>
  <c r="AT29" i="2" s="1"/>
  <c r="AT70" i="2" s="1"/>
  <c r="AS328" i="5" a="1"/>
  <c r="AS328" i="5" s="1"/>
  <c r="AS57" i="5" s="1"/>
  <c r="AS29" i="2" s="1"/>
  <c r="AS70" i="2" s="1"/>
  <c r="AS314" i="5" a="1"/>
  <c r="AS314" i="5" s="1"/>
  <c r="AS42" i="5" s="1"/>
  <c r="AS13" i="2" s="1"/>
  <c r="AU326" i="5" a="1"/>
  <c r="AU326" i="5" s="1"/>
  <c r="AU55" i="5" s="1"/>
  <c r="AU27" i="2" s="1"/>
  <c r="AU68" i="2" s="1"/>
  <c r="AV328" i="5" a="1"/>
  <c r="AV328" i="5" s="1"/>
  <c r="AV57" i="5" s="1"/>
  <c r="AV29" i="2" s="1"/>
  <c r="AV70" i="2" s="1"/>
  <c r="AV314" i="5" a="1"/>
  <c r="AV314" i="5" s="1"/>
  <c r="AV42" i="5" s="1"/>
  <c r="AV13" i="2" s="1"/>
  <c r="AR52" i="5"/>
  <c r="AR24" i="2" s="1"/>
  <c r="AR41" i="5"/>
  <c r="AT314" i="5" a="1"/>
  <c r="AT314" i="5" s="1"/>
  <c r="AT42" i="5" s="1"/>
  <c r="AT13" i="2" s="1"/>
  <c r="AS317" i="5" a="1"/>
  <c r="AS317" i="5" s="1"/>
  <c r="AS45" i="5" s="1"/>
  <c r="AS16" i="2" s="1"/>
  <c r="AS51" i="5"/>
  <c r="AS23" i="2" s="1"/>
  <c r="AU322" i="5" a="1"/>
  <c r="AU322" i="5" s="1"/>
  <c r="AU51" i="5" s="1"/>
  <c r="AU23" i="2" s="1"/>
  <c r="AU318" i="5" a="1"/>
  <c r="AU318" i="5" s="1"/>
  <c r="AU46" i="5" s="1"/>
  <c r="AU17" i="2" s="1"/>
  <c r="AV316" i="5" a="1"/>
  <c r="AV316" i="5" s="1"/>
  <c r="AV44" i="5" s="1"/>
  <c r="AV15" i="2" s="1"/>
  <c r="AV317" i="5" a="1"/>
  <c r="AV317" i="5" s="1"/>
  <c r="AV45" i="5" s="1"/>
  <c r="AV16" i="2" s="1"/>
  <c r="AR326" i="5" a="1"/>
  <c r="AR326" i="5" s="1"/>
  <c r="AR55" i="5" s="1"/>
  <c r="AR27" i="2" s="1"/>
  <c r="AR43" i="5"/>
  <c r="AR14" i="2" s="1"/>
  <c r="AT323" i="5" a="1"/>
  <c r="AT323" i="5" s="1"/>
  <c r="AT52" i="5" s="1"/>
  <c r="AT24" i="2" s="1"/>
  <c r="AT65" i="2" s="1"/>
  <c r="AT317" i="5" a="1"/>
  <c r="AT317" i="5" s="1"/>
  <c r="AT45" i="5" s="1"/>
  <c r="AT16" i="2" s="1"/>
  <c r="AS315" i="5" a="1"/>
  <c r="AS315" i="5" s="1"/>
  <c r="AS43" i="5" s="1"/>
  <c r="AS14" i="2" s="1"/>
  <c r="AU319" i="5" a="1"/>
  <c r="AU319" i="5" s="1"/>
  <c r="AU47" i="5" s="1"/>
  <c r="AU18" i="2" s="1"/>
  <c r="AU317" i="5" a="1"/>
  <c r="AU317" i="5" s="1"/>
  <c r="AU45" i="5" s="1"/>
  <c r="AU16" i="2" s="1"/>
  <c r="AV319" i="5" a="1"/>
  <c r="AV319" i="5" s="1"/>
  <c r="AV47" i="5" s="1"/>
  <c r="AV18" i="2" s="1"/>
  <c r="AV313" i="5" a="1"/>
  <c r="AV313" i="5" s="1"/>
  <c r="AV41" i="5" s="1"/>
  <c r="AV12" i="2" s="1"/>
  <c r="AR327" i="5" a="1"/>
  <c r="AR327" i="5" s="1"/>
  <c r="AR56" i="5" s="1"/>
  <c r="AR28" i="2" s="1"/>
  <c r="AT324" i="5" a="1"/>
  <c r="AT324" i="5" s="1"/>
  <c r="AT53" i="5" s="1"/>
  <c r="AT25" i="2" s="1"/>
  <c r="AT66" i="2" s="1"/>
  <c r="AT313" i="5" a="1"/>
  <c r="AT313" i="5" s="1"/>
  <c r="AT41" i="5" s="1"/>
  <c r="AT12" i="2" s="1"/>
  <c r="AS325" i="5" a="1"/>
  <c r="AS325" i="5" s="1"/>
  <c r="AS54" i="5" s="1"/>
  <c r="AS26" i="2" s="1"/>
  <c r="AS67" i="2" s="1"/>
  <c r="AU328" i="5" a="1"/>
  <c r="AU328" i="5" s="1"/>
  <c r="AU57" i="5" s="1"/>
  <c r="AU29" i="2" s="1"/>
  <c r="AU70" i="2" s="1"/>
  <c r="AU323" i="5" a="1"/>
  <c r="AU323" i="5" s="1"/>
  <c r="AU52" i="5" s="1"/>
  <c r="AU24" i="2" s="1"/>
  <c r="AU65" i="2" s="1"/>
  <c r="AV327" i="5" a="1"/>
  <c r="AV327" i="5" s="1"/>
  <c r="AV56" i="5" s="1"/>
  <c r="AV28" i="2" s="1"/>
  <c r="AV69" i="2" s="1"/>
  <c r="AV315" i="5" a="1"/>
  <c r="AV315" i="5" s="1"/>
  <c r="AV43" i="5" s="1"/>
  <c r="AV14" i="2" s="1"/>
  <c r="AR317" i="5" a="1"/>
  <c r="AR317" i="5" s="1"/>
  <c r="AR45" i="5" s="1"/>
  <c r="AR16" i="2" s="1"/>
  <c r="AT318" i="5" a="1"/>
  <c r="AT318" i="5" s="1"/>
  <c r="AT46" i="5" s="1"/>
  <c r="AT17" i="2" s="1"/>
  <c r="AT326" i="5" a="1"/>
  <c r="AT326" i="5" s="1"/>
  <c r="AT55" i="5" s="1"/>
  <c r="AT27" i="2" s="1"/>
  <c r="AT68" i="2" s="1"/>
  <c r="AS326" i="5" a="1"/>
  <c r="AS326" i="5" s="1"/>
  <c r="AS55" i="5" s="1"/>
  <c r="AS27" i="2" s="1"/>
  <c r="AS68" i="2" s="1"/>
  <c r="AS319" i="5" a="1"/>
  <c r="AS319" i="5" s="1"/>
  <c r="AS47" i="5" s="1"/>
  <c r="AS18" i="2" s="1"/>
  <c r="AU324" i="5" a="1"/>
  <c r="AU324" i="5" s="1"/>
  <c r="AU53" i="5" s="1"/>
  <c r="AU25" i="2" s="1"/>
  <c r="AU66" i="2" s="1"/>
  <c r="AU325" i="5" a="1"/>
  <c r="AU325" i="5" s="1"/>
  <c r="AU54" i="5" s="1"/>
  <c r="AU26" i="2" s="1"/>
  <c r="AU67" i="2" s="1"/>
  <c r="AV318" i="5" a="1"/>
  <c r="AV318" i="5" s="1"/>
  <c r="AV46" i="5" s="1"/>
  <c r="AV17" i="2" s="1"/>
  <c r="AV322" i="5" a="1"/>
  <c r="AV322" i="5" s="1"/>
  <c r="AV51" i="5" s="1"/>
  <c r="AV23" i="2" s="1"/>
  <c r="AV64" i="2" s="1"/>
  <c r="AR316" i="5" a="1"/>
  <c r="AR316" i="5" s="1"/>
  <c r="AR44" i="5" s="1"/>
  <c r="AR15" i="2" s="1"/>
  <c r="AR319" i="5" a="1"/>
  <c r="AR319" i="5" s="1"/>
  <c r="AR47" i="5" s="1"/>
  <c r="AR18" i="2" s="1"/>
  <c r="AT325" i="5" a="1"/>
  <c r="AT325" i="5" s="1"/>
  <c r="AT54" i="5" s="1"/>
  <c r="AT26" i="2" s="1"/>
  <c r="AT67" i="2" s="1"/>
  <c r="AT322" i="5" a="1"/>
  <c r="AT322" i="5" s="1"/>
  <c r="AT51" i="5" s="1"/>
  <c r="AT23" i="2" s="1"/>
  <c r="AS318" i="5" a="1"/>
  <c r="AS318" i="5" s="1"/>
  <c r="AS46" i="5" s="1"/>
  <c r="AS17" i="2" s="1"/>
  <c r="AS327" i="5" a="1"/>
  <c r="AS327" i="5" s="1"/>
  <c r="AS56" i="5" s="1"/>
  <c r="AS28" i="2" s="1"/>
  <c r="AS69" i="2" s="1"/>
  <c r="AU313" i="5" a="1"/>
  <c r="AU313" i="5" s="1"/>
  <c r="AU41" i="5" s="1"/>
  <c r="AU12" i="2" s="1"/>
  <c r="AU327" i="5" a="1"/>
  <c r="AU327" i="5" s="1"/>
  <c r="AU56" i="5" s="1"/>
  <c r="AU28" i="2" s="1"/>
  <c r="AU69" i="2" s="1"/>
  <c r="AV323" i="5" a="1"/>
  <c r="AV323" i="5" s="1"/>
  <c r="AV52" i="5" s="1"/>
  <c r="AV24" i="2" s="1"/>
  <c r="AV325" i="5" a="1"/>
  <c r="AV325" i="5" s="1"/>
  <c r="AV54" i="5" s="1"/>
  <c r="AV26" i="2" s="1"/>
  <c r="AV67" i="2" s="1"/>
  <c r="AR318" i="5" a="1"/>
  <c r="AR318" i="5" s="1"/>
  <c r="AR46" i="5" s="1"/>
  <c r="AR17" i="2" s="1"/>
  <c r="AR322" i="5" a="1"/>
  <c r="AR322" i="5" s="1"/>
  <c r="AR51" i="5" s="1"/>
  <c r="AR23" i="2" s="1"/>
  <c r="AT327" i="5" a="1"/>
  <c r="AT327" i="5" s="1"/>
  <c r="AT56" i="5" s="1"/>
  <c r="AT28" i="2" s="1"/>
  <c r="AT69" i="2" s="1"/>
  <c r="AT316" i="5" a="1"/>
  <c r="AT316" i="5" s="1"/>
  <c r="AT44" i="5" s="1"/>
  <c r="AT15" i="2" s="1"/>
  <c r="AS323" i="5" a="1"/>
  <c r="AS323" i="5" s="1"/>
  <c r="AS52" i="5" s="1"/>
  <c r="AS24" i="2" s="1"/>
  <c r="AS65" i="2" s="1"/>
  <c r="AS316" i="5" a="1"/>
  <c r="AS316"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80"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8" i="5"/>
  <c r="AR299" i="5"/>
  <c r="AR297" i="5"/>
  <c r="AT296" i="5"/>
  <c r="AT301" i="5"/>
  <c r="AU295" i="5"/>
  <c r="AV300" i="5"/>
  <c r="AV297" i="5"/>
  <c r="AV295" i="5"/>
  <c r="AR296" i="5"/>
  <c r="AT298" i="5"/>
  <c r="AV301" i="5"/>
  <c r="AS300" i="5"/>
  <c r="AU299" i="5"/>
  <c r="AV298" i="5"/>
  <c r="AV296" i="5"/>
  <c r="Q208" i="12"/>
  <c r="Q204" i="12" s="1"/>
  <c r="Q30" i="12" s="1"/>
  <c r="AS33" i="17"/>
  <c r="AU301" i="5"/>
  <c r="AU300" i="5"/>
  <c r="AU298" i="5"/>
  <c r="AU297" i="5"/>
  <c r="Q193" i="12"/>
  <c r="AR300" i="5"/>
  <c r="AS297" i="5"/>
  <c r="AS295" i="5"/>
  <c r="AU296" i="5"/>
  <c r="R154" i="12"/>
  <c r="AR301" i="5"/>
  <c r="AT295" i="5"/>
  <c r="AT299" i="5"/>
  <c r="AS296" i="5"/>
  <c r="AV33" i="17"/>
  <c r="AS299" i="5"/>
  <c r="AT297"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2" i="5"/>
  <c r="E395" i="5"/>
  <c r="E402" i="5"/>
  <c r="E413" i="5"/>
  <c r="E388" i="5"/>
  <c r="E386" i="5"/>
  <c r="E422" i="5"/>
  <c r="E418" i="5"/>
  <c r="E385" i="5"/>
  <c r="E410" i="5"/>
  <c r="E415" i="5"/>
  <c r="E424" i="5"/>
  <c r="AV316" i="17"/>
  <c r="E399" i="5"/>
  <c r="E398" i="5"/>
  <c r="AT316" i="17"/>
  <c r="AR79" i="5"/>
  <c r="E408" i="5"/>
  <c r="E428" i="5"/>
  <c r="E405" i="5"/>
  <c r="E396" i="5"/>
  <c r="E412" i="5"/>
  <c r="E406" i="5"/>
  <c r="AS79" i="5"/>
  <c r="AR68" i="5"/>
  <c r="AR49" i="2"/>
  <c r="AR53" i="2" s="1"/>
  <c r="E419" i="5"/>
  <c r="E404" i="5"/>
  <c r="E393" i="5"/>
  <c r="E403" i="5"/>
  <c r="E414" i="5"/>
  <c r="E391" i="5"/>
  <c r="E427" i="5"/>
  <c r="E421" i="5"/>
  <c r="AR316" i="17"/>
  <c r="AU316" i="17"/>
  <c r="AU79" i="5"/>
  <c r="E397" i="5"/>
  <c r="E420" i="5"/>
  <c r="E416" i="5"/>
  <c r="AS68" i="5"/>
  <c r="E431" i="5"/>
  <c r="AS316" i="17"/>
  <c r="AU68" i="5"/>
  <c r="AV79" i="5"/>
  <c r="E426" i="5"/>
  <c r="E394" i="5"/>
  <c r="E392" i="5"/>
  <c r="E417" i="5"/>
  <c r="E389" i="5"/>
  <c r="E390" i="5"/>
  <c r="E430" i="5"/>
  <c r="E425" i="5"/>
  <c r="E423" i="5"/>
  <c r="AV68" i="5"/>
  <c r="AU320" i="17"/>
  <c r="AT79" i="5"/>
  <c r="E411" i="5"/>
  <c r="E429" i="5"/>
  <c r="E409" i="5"/>
  <c r="E387" i="5"/>
  <c r="E401" i="5"/>
  <c r="E400"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9" i="5"/>
  <c r="AT300" i="5"/>
  <c r="AS281" i="17"/>
  <c r="AS265" i="17" s="1"/>
  <c r="I110" i="12"/>
  <c r="I102" i="12"/>
  <c r="AV102" i="12" s="1"/>
  <c r="I146" i="12"/>
  <c r="AV146" i="12" s="1"/>
  <c r="AU26" i="6"/>
  <c r="AS33" i="15"/>
  <c r="AS11" i="16"/>
  <c r="AS32" i="17"/>
  <c r="AV22" i="15"/>
  <c r="AV308" i="5"/>
  <c r="AV299"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4" i="5"/>
  <c r="AR295" i="5"/>
  <c r="AR34" i="2"/>
  <c r="I101" i="12"/>
  <c r="AU101" i="12" s="1"/>
  <c r="AV101" i="12" s="1"/>
  <c r="I145" i="12"/>
  <c r="AS301" i="5"/>
  <c r="AS310" i="5"/>
  <c r="AR37" i="2"/>
  <c r="AR307" i="5"/>
  <c r="AR298"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6" i="15" s="1"/>
  <c r="AU65" i="15" s="1"/>
  <c r="AU43" i="15"/>
  <c r="AU39" i="15"/>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51" i="15" l="1"/>
  <c r="AU48" i="15"/>
  <c r="AU91" i="15" s="1"/>
  <c r="AU50" i="15"/>
  <c r="AU47" i="15"/>
  <c r="AU78" i="15"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U205" i="17"/>
  <c r="AU254" i="17"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V49" i="15" l="1"/>
  <c r="AV101" i="15" s="1"/>
  <c r="AV46" i="15"/>
  <c r="AV65" i="15" s="1"/>
  <c r="AV50" i="15"/>
  <c r="AV47" i="15"/>
  <c r="AV78" i="15" s="1"/>
  <c r="AV48" i="15"/>
  <c r="AV91" i="15" s="1"/>
  <c r="AV51" i="15"/>
  <c r="AR49" i="15"/>
  <c r="AR101" i="15" s="1"/>
  <c r="AR46" i="15"/>
  <c r="AR65" i="15" s="1"/>
  <c r="AS47" i="15"/>
  <c r="AS78" i="15" s="1"/>
  <c r="AR48" i="15"/>
  <c r="AR91" i="15" s="1"/>
  <c r="AR93" i="15" s="1"/>
  <c r="AR50" i="15"/>
  <c r="AR205" i="17" s="1"/>
  <c r="AR254" i="17" s="1"/>
  <c r="AT46" i="15"/>
  <c r="AT65" i="15" s="1"/>
  <c r="AR51" i="15"/>
  <c r="AT49" i="15"/>
  <c r="AT101" i="15" s="1"/>
  <c r="AS50" i="15"/>
  <c r="AS205" i="17" s="1"/>
  <c r="AS254" i="17" s="1"/>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V205" i="17"/>
  <c r="AV254" i="17"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U93" i="15" l="1"/>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R66" i="15"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R67" i="15"/>
  <c r="AR108" i="15" s="1"/>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R68" i="15"/>
  <c r="AN59" i="12"/>
  <c r="AN29" i="12" s="1"/>
  <c r="AT210" i="12"/>
  <c r="AR76" i="15"/>
  <c r="AR79" i="15" s="1"/>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S63" i="15"/>
  <c r="AS66" i="15" s="1"/>
  <c r="AS67" i="15" s="1"/>
  <c r="AS108" i="15" s="1"/>
  <c r="AL64" i="13"/>
  <c r="AL66" i="13" s="1"/>
  <c r="AM63" i="13" s="1"/>
  <c r="AL41" i="13"/>
  <c r="AN43" i="12"/>
  <c r="AO46" i="12" s="1"/>
  <c r="AO61" i="13" s="1"/>
  <c r="AN65" i="13"/>
  <c r="AN45" i="13" s="1"/>
  <c r="AR235" i="12"/>
  <c r="AQ208" i="12"/>
  <c r="AQ204" i="12" s="1"/>
  <c r="AQ30" i="12" s="1"/>
  <c r="AR55" i="13"/>
  <c r="AN32" i="12"/>
  <c r="AR80" i="15"/>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R109" i="15"/>
  <c r="AR112" i="15" s="1"/>
  <c r="AO65" i="13"/>
  <c r="AO45" i="13" s="1"/>
  <c r="AS68" i="15"/>
  <c r="AT63" i="15" s="1"/>
  <c r="AT66" i="15" s="1"/>
  <c r="AT67" i="15" s="1"/>
  <c r="AT108" i="15" s="1"/>
  <c r="AM64" i="13"/>
  <c r="AM66" i="13" s="1"/>
  <c r="AN63" i="13" s="1"/>
  <c r="AM41" i="13"/>
  <c r="AS235" i="12"/>
  <c r="AR208" i="12"/>
  <c r="AR204" i="12" s="1"/>
  <c r="AR30" i="12" s="1"/>
  <c r="AR56" i="13"/>
  <c r="AR81" i="15"/>
  <c r="AS76" i="15" s="1"/>
  <c r="AS79" i="15" s="1"/>
  <c r="AS80" i="15" s="1"/>
  <c r="AS109" i="15" s="1"/>
  <c r="AS112" i="15" s="1"/>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R206" i="17"/>
  <c r="AR255" i="17" s="1"/>
  <c r="AP65" i="13"/>
  <c r="AP45" i="13" s="1"/>
  <c r="AN64" i="13"/>
  <c r="AN66" i="13" s="1"/>
  <c r="AO63" i="13" s="1"/>
  <c r="AN41" i="13"/>
  <c r="AT235" i="12"/>
  <c r="AS208" i="12"/>
  <c r="AS204" i="12" s="1"/>
  <c r="AS30" i="12" s="1"/>
  <c r="AT68" i="15"/>
  <c r="AU63" i="15" s="1"/>
  <c r="AU66" i="15" s="1"/>
  <c r="AS81" i="15"/>
  <c r="AT76" i="15" s="1"/>
  <c r="AT79" i="15" s="1"/>
  <c r="AP43" i="12"/>
  <c r="AQ46" i="12" s="1"/>
  <c r="AQ61" i="13" s="1"/>
  <c r="AP32" i="12"/>
  <c r="AS206" i="17"/>
  <c r="AS255" i="17" s="1"/>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U67" i="15"/>
  <c r="AU108" i="15"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T80" i="15"/>
  <c r="AT109" i="15" s="1"/>
  <c r="AT112" i="15" s="1"/>
  <c r="AQ43" i="12"/>
  <c r="AR46" i="12" s="1"/>
  <c r="AR61" i="13" s="1"/>
  <c r="AQ32" i="12"/>
  <c r="AR59" i="12"/>
  <c r="AR29" i="12" s="1"/>
  <c r="AN46" i="13" l="1"/>
  <c r="AO43" i="13" s="1"/>
  <c r="AP64" i="13"/>
  <c r="AP66" i="13" s="1"/>
  <c r="AQ63" i="13" s="1"/>
  <c r="AP41" i="13"/>
  <c r="AU208" i="12"/>
  <c r="AU204" i="12" s="1"/>
  <c r="AU30" i="12" s="1"/>
  <c r="AV235" i="12"/>
  <c r="AV208" i="12" s="1"/>
  <c r="AV204" i="12" s="1"/>
  <c r="AV30" i="12" s="1"/>
  <c r="AT81" i="15"/>
  <c r="AU76" i="15" s="1"/>
  <c r="AU79" i="15" s="1"/>
  <c r="AU80" i="15" s="1"/>
  <c r="AU109" i="15" s="1"/>
  <c r="AU112" i="15"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U68" i="15"/>
  <c r="AV63" i="15" s="1"/>
  <c r="AV66" i="15" s="1"/>
  <c r="AT206" i="17"/>
  <c r="AT255" i="17" s="1"/>
  <c r="AO46" i="13" l="1"/>
  <c r="AP43" i="13" s="1"/>
  <c r="AQ64" i="13"/>
  <c r="AQ66" i="13" s="1"/>
  <c r="AQ41" i="13"/>
  <c r="AU206" i="17"/>
  <c r="AU255" i="17" s="1"/>
  <c r="AU81" i="15"/>
  <c r="AV76" i="15" s="1"/>
  <c r="AV79" i="15" s="1"/>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V67" i="15"/>
  <c r="AV108" i="15" s="1"/>
  <c r="AT59" i="12"/>
  <c r="AT29" i="12" s="1"/>
  <c r="AR9" i="16"/>
  <c r="AP46" i="13" l="1"/>
  <c r="AV68" i="15"/>
  <c r="AV80" i="15"/>
  <c r="AV109" i="15" s="1"/>
  <c r="AV112" i="15" s="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206" i="17" l="1"/>
  <c r="AV255" i="17" s="1"/>
  <c r="AV81" i="15"/>
  <c r="AV59" i="12"/>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321"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321" i="17" s="1"/>
  <c r="AS190" i="17"/>
  <c r="AS194" i="17" s="1"/>
  <c r="AS34" i="17" s="1"/>
  <c r="AS15" i="13"/>
  <c r="AS17" i="13" s="1"/>
  <c r="AT43" i="13"/>
  <c r="AR75" i="101" l="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T321" i="17" s="1"/>
  <c r="AU43" i="13"/>
  <c r="AT15" i="13"/>
  <c r="AT17" i="13" s="1"/>
  <c r="AT190" i="17"/>
  <c r="AT194" i="17" s="1"/>
  <c r="AT34" i="17" s="1"/>
  <c r="AS12" i="16" l="1"/>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321" i="17" s="1"/>
  <c r="AU15" i="13"/>
  <c r="AU17" i="13" s="1"/>
  <c r="AV43" i="13"/>
  <c r="AU190" i="17"/>
  <c r="AU194" i="17" s="1"/>
  <c r="AU34" i="17" s="1"/>
  <c r="AT12" i="16" l="1"/>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321" i="17" s="1"/>
  <c r="AV190" i="17"/>
  <c r="AV194" i="17" s="1"/>
  <c r="AV34" i="17" s="1"/>
  <c r="AV15" i="13"/>
  <c r="AV17" i="13" s="1"/>
  <c r="AV55" i="17"/>
  <c r="AU12" i="16" l="1"/>
  <c r="AV21" i="13"/>
  <c r="AV23" i="13" s="1"/>
  <c r="AV69" i="17"/>
  <c r="AV71" i="17" s="1"/>
  <c r="AV178" i="17" s="1"/>
  <c r="AV76" i="17"/>
  <c r="AV93" i="17"/>
  <c r="AV26" i="17"/>
  <c r="AU75" i="101" l="1"/>
  <c r="AU76" i="101" s="1"/>
  <c r="AU79" i="101" s="1"/>
  <c r="AU80" i="101" s="1"/>
  <c r="AU86" i="101" s="1"/>
  <c r="AU87" i="101" s="1"/>
  <c r="AV89" i="101" s="1"/>
  <c r="AV14" i="125"/>
  <c r="AV15" i="125" s="1"/>
  <c r="AV27" i="13"/>
  <c r="AU81" i="101" l="1"/>
  <c r="AV30" i="13"/>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l="1"/>
  <c r="I72" i="125"/>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327" i="17" s="1"/>
  <c r="AR331" i="17" s="1"/>
  <c r="AR333" i="17" s="1"/>
  <c r="AR217" i="17" s="1"/>
  <c r="AR264" i="17" s="1"/>
  <c r="AR252" i="17"/>
  <c r="AR207" i="17"/>
  <c r="AR216" i="17" l="1"/>
  <c r="AR294" i="17"/>
  <c r="AR296" i="17" s="1"/>
  <c r="AR297" i="17" l="1"/>
  <c r="AR299" i="17" s="1"/>
  <c r="AR218" i="17" l="1"/>
  <c r="AR303" i="17"/>
  <c r="AR307" i="17" s="1"/>
  <c r="AR236" i="17" s="1"/>
  <c r="AR219" i="17" l="1"/>
  <c r="AR225" i="17" l="1"/>
  <c r="AR227" i="17" s="1"/>
  <c r="AR231" i="17" s="1"/>
  <c r="AR235" i="17" s="1"/>
  <c r="AR237" i="17" s="1"/>
  <c r="AR220" i="17"/>
  <c r="AS215" i="17" s="1"/>
  <c r="AR240" i="17" l="1"/>
  <c r="AR20" i="16" s="1"/>
  <c r="AR239" i="17"/>
  <c r="AR250" i="17" s="1"/>
  <c r="AR256" i="17" s="1"/>
  <c r="AR266" i="17" s="1"/>
  <c r="AR39" i="17" l="1"/>
  <c r="AR22" i="16"/>
  <c r="AR272" i="17"/>
  <c r="AR274" i="17" s="1"/>
  <c r="AR40" i="17" s="1"/>
  <c r="AR263" i="17"/>
  <c r="AR49" i="101" l="1"/>
  <c r="AR267" i="17"/>
  <c r="AS262" i="17" s="1"/>
  <c r="AR41" i="17"/>
  <c r="AR53" i="101" l="1"/>
  <c r="AS25" i="17"/>
  <c r="AR58" i="101" l="1"/>
  <c r="AS45" i="17"/>
  <c r="AS53" i="17" s="1"/>
  <c r="AS57" i="17" s="1"/>
  <c r="AS78" i="17" s="1"/>
  <c r="AS80" i="17" s="1"/>
  <c r="AS84" i="17" s="1"/>
  <c r="AS86" i="17" s="1"/>
  <c r="AR93" i="101" l="1"/>
  <c r="AR94" i="101" s="1"/>
  <c r="AR61" i="101"/>
  <c r="AR62" i="101" s="1"/>
  <c r="AS179" i="17"/>
  <c r="AS27" i="17"/>
  <c r="AR95" i="101" l="1"/>
  <c r="AS69" i="101"/>
  <c r="AS50" i="101" s="1"/>
  <c r="AR63" i="101"/>
  <c r="AR100" i="101"/>
  <c r="AR101" i="101" s="1"/>
  <c r="AS51" i="101" s="1"/>
  <c r="AS28" i="17"/>
  <c r="AS180" i="17"/>
  <c r="AS184" i="17" l="1"/>
  <c r="AS46" i="17"/>
  <c r="AS92" i="17" s="1"/>
  <c r="AS95" i="17" s="1"/>
  <c r="AS126" i="17"/>
  <c r="AS35" i="17" l="1"/>
  <c r="AS185" i="17"/>
  <c r="AS14" i="16" s="1"/>
  <c r="AS19" i="16" l="1"/>
  <c r="AS29" i="17" l="1"/>
  <c r="AS201" i="17"/>
  <c r="AS248" i="17" l="1"/>
  <c r="AS36" i="17"/>
  <c r="AS127" i="17" l="1"/>
  <c r="AS129" i="17" s="1"/>
  <c r="AS137" i="17" l="1"/>
  <c r="AS140" i="17" s="1"/>
  <c r="AS144" i="17"/>
  <c r="AS153" i="17"/>
  <c r="AS158" i="17" l="1"/>
  <c r="AS156" i="17"/>
  <c r="AS147" i="17"/>
  <c r="AS149" i="17"/>
  <c r="AS167" i="17" l="1"/>
  <c r="AS131" i="17" s="1"/>
  <c r="AS164" i="17"/>
  <c r="AS170" i="17" s="1"/>
  <c r="AS169" i="17" l="1"/>
  <c r="AS37" i="17" s="1"/>
  <c r="AS38" i="17"/>
  <c r="AS171" i="17"/>
  <c r="AS204" i="17"/>
  <c r="AS253" i="17" s="1"/>
  <c r="AS203" i="17" l="1"/>
  <c r="AS326" i="17" s="1"/>
  <c r="AS327" i="17" s="1"/>
  <c r="AS331" i="17" s="1"/>
  <c r="AS333" i="17" s="1"/>
  <c r="AS217" i="17" s="1"/>
  <c r="AS264" i="17" s="1"/>
  <c r="AS252" i="17" l="1"/>
  <c r="AS207" i="17"/>
  <c r="AS216" i="17" s="1"/>
  <c r="AS294" i="17" l="1"/>
  <c r="AS296" i="17" s="1"/>
  <c r="AS297" i="17" l="1"/>
  <c r="AS299" i="17" s="1"/>
  <c r="AS303" i="17" s="1"/>
  <c r="AS307" i="17" s="1"/>
  <c r="AS236" i="17" s="1"/>
  <c r="AS218" i="17" l="1"/>
  <c r="AS219" i="17" l="1"/>
  <c r="AS225" i="17" s="1"/>
  <c r="AS227" i="17" s="1"/>
  <c r="AS231" i="17" s="1"/>
  <c r="AS235" i="17" s="1"/>
  <c r="AS237" i="17" s="1"/>
  <c r="AS239" i="17" s="1"/>
  <c r="AS240" i="17" l="1"/>
  <c r="AS20" i="16" s="1"/>
  <c r="AS220" i="17"/>
  <c r="AT215" i="17" s="1"/>
  <c r="AS39" i="17"/>
  <c r="AS250" i="17"/>
  <c r="AS256" i="17" s="1"/>
  <c r="AS266" i="17" s="1"/>
  <c r="AS22" i="16" l="1"/>
  <c r="AS272" i="17"/>
  <c r="AS274" i="17" s="1"/>
  <c r="AS40" i="17" s="1"/>
  <c r="AS263" i="17"/>
  <c r="AS49" i="101" l="1"/>
  <c r="AS53" i="101" s="1"/>
  <c r="AS267" i="17"/>
  <c r="AT262" i="17" s="1"/>
  <c r="AS41" i="17"/>
  <c r="AS58" i="101" l="1"/>
  <c r="AT25" i="17"/>
  <c r="AS61" i="101" l="1"/>
  <c r="AS62" i="101" s="1"/>
  <c r="AS93" i="101"/>
  <c r="AS94" i="101" s="1"/>
  <c r="AT45" i="17"/>
  <c r="AT53" i="17" s="1"/>
  <c r="AT57" i="17" s="1"/>
  <c r="AT78" i="17" s="1"/>
  <c r="AT80" i="17" s="1"/>
  <c r="AT84" i="17" s="1"/>
  <c r="AT86" i="17" s="1"/>
  <c r="AS100" i="101" l="1"/>
  <c r="AS101" i="101" s="1"/>
  <c r="AS95" i="101"/>
  <c r="AT69" i="101"/>
  <c r="AT50" i="101" s="1"/>
  <c r="AS63" i="101"/>
  <c r="AT179" i="17"/>
  <c r="AT27" i="17"/>
  <c r="AT51" i="101" l="1"/>
  <c r="AT28" i="17"/>
  <c r="AT180" i="17"/>
  <c r="AT126" i="17" l="1"/>
  <c r="AT46" i="17"/>
  <c r="AT92" i="17" s="1"/>
  <c r="AT95" i="17" s="1"/>
  <c r="AT184" i="17"/>
  <c r="AT185" i="17" l="1"/>
  <c r="AT14" i="16" s="1"/>
  <c r="AT35" i="17"/>
  <c r="AT19" i="16" l="1"/>
  <c r="AT201" i="17" l="1"/>
  <c r="AT29" i="17"/>
  <c r="AT248" i="17" l="1"/>
  <c r="AT36" i="17"/>
  <c r="AT127" i="17" l="1"/>
  <c r="AT129" i="17" s="1"/>
  <c r="AT144" i="17" l="1"/>
  <c r="AT137" i="17"/>
  <c r="AT140" i="17" s="1"/>
  <c r="AT153" i="17"/>
  <c r="AT156" i="17" l="1"/>
  <c r="AT158" i="17"/>
  <c r="AT149" i="17"/>
  <c r="AT147" i="17"/>
  <c r="AT167" i="17" l="1"/>
  <c r="AT131" i="17" s="1"/>
  <c r="AT164" i="17"/>
  <c r="AT170" i="17" s="1"/>
  <c r="AT38" i="17" s="1"/>
  <c r="AT169" i="17" l="1"/>
  <c r="AT203" i="17" s="1"/>
  <c r="AT204" i="17"/>
  <c r="AT253" i="17" s="1"/>
  <c r="AT171" i="17"/>
  <c r="AT37" i="17" l="1"/>
  <c r="AT252" i="17"/>
  <c r="AT326" i="17"/>
  <c r="AT327" i="17" s="1"/>
  <c r="AT331" i="17" s="1"/>
  <c r="AT333" i="17" s="1"/>
  <c r="AT217" i="17" s="1"/>
  <c r="AT264" i="17" s="1"/>
  <c r="AT207" i="17"/>
  <c r="AT216" i="17" l="1"/>
  <c r="AT294" i="17"/>
  <c r="AT296" i="17" l="1"/>
  <c r="AT297" i="17" s="1"/>
  <c r="AT299" i="17" s="1"/>
  <c r="AT218" i="17" l="1"/>
  <c r="AT303" i="17"/>
  <c r="AT307" i="17" s="1"/>
  <c r="AT236" i="17" s="1"/>
  <c r="AT219" i="17" l="1"/>
  <c r="AT225" i="17" s="1"/>
  <c r="AT227" i="17" s="1"/>
  <c r="AT231" i="17" s="1"/>
  <c r="AT235" i="17" s="1"/>
  <c r="AT237" i="17" s="1"/>
  <c r="AT240" i="17" l="1"/>
  <c r="AT20" i="16" s="1"/>
  <c r="AT239" i="17"/>
  <c r="AT220" i="17"/>
  <c r="AU215" i="17" s="1"/>
  <c r="AT22" i="16" l="1"/>
  <c r="AT250" i="17"/>
  <c r="AT256" i="17" s="1"/>
  <c r="AT266" i="17" s="1"/>
  <c r="AT39" i="17"/>
  <c r="AT263" i="17" l="1"/>
  <c r="AT272" i="17"/>
  <c r="AT274" i="17" s="1"/>
  <c r="AT40" i="17" s="1"/>
  <c r="AT41" i="17" s="1"/>
  <c r="AT49" i="101"/>
  <c r="AT53" i="101" l="1"/>
  <c r="AT267" i="17"/>
  <c r="AU262" i="17" s="1"/>
  <c r="AU25" i="17"/>
  <c r="AT58" i="101" l="1"/>
  <c r="AU45" i="17"/>
  <c r="AU53" i="17" s="1"/>
  <c r="AU57" i="17" s="1"/>
  <c r="AU78" i="17" s="1"/>
  <c r="AU80" i="17" s="1"/>
  <c r="AU84" i="17" s="1"/>
  <c r="AU86" i="17" s="1"/>
  <c r="AT93" i="101" l="1"/>
  <c r="AT94" i="101" s="1"/>
  <c r="AT61" i="101"/>
  <c r="AT62" i="101" s="1"/>
  <c r="AU27" i="17"/>
  <c r="AU179" i="17"/>
  <c r="AU69" i="101" l="1"/>
  <c r="AU50" i="101" s="1"/>
  <c r="AT95" i="101"/>
  <c r="AT63" i="101"/>
  <c r="AT100" i="101"/>
  <c r="AT101" i="101" s="1"/>
  <c r="AU103" i="101" s="1"/>
  <c r="AU180" i="17"/>
  <c r="AU28" i="17"/>
  <c r="AU105" i="101" l="1"/>
  <c r="AU51" i="101" s="1"/>
  <c r="AU184" i="17"/>
  <c r="AU126" i="17"/>
  <c r="AU46" i="17"/>
  <c r="AU92" i="17" s="1"/>
  <c r="AU95" i="17" s="1"/>
  <c r="AU185" i="17" l="1"/>
  <c r="AU14" i="16" s="1"/>
  <c r="AU35" i="17"/>
  <c r="AU19" i="16" l="1"/>
  <c r="AU201" i="17" l="1"/>
  <c r="AU29" i="17"/>
  <c r="AU36" i="17" l="1"/>
  <c r="AU248" i="17"/>
  <c r="AU127" i="17" l="1"/>
  <c r="AU129" i="17" s="1"/>
  <c r="AU144" i="17" l="1"/>
  <c r="AU137" i="17"/>
  <c r="AU140" i="17" s="1"/>
  <c r="AU153" i="17"/>
  <c r="AU147" i="17" l="1"/>
  <c r="AU149" i="17"/>
  <c r="AU158" i="17"/>
  <c r="AU156" i="17"/>
  <c r="AU164" i="17" l="1"/>
  <c r="AU170" i="17" s="1"/>
  <c r="AU38" i="17" s="1"/>
  <c r="AU167" i="17"/>
  <c r="AU204" i="17" l="1"/>
  <c r="AU253" i="17" s="1"/>
  <c r="AU171" i="17"/>
  <c r="AU169" i="17"/>
  <c r="AU37" i="17" s="1"/>
  <c r="AU131" i="17"/>
  <c r="AU203" i="17" l="1"/>
  <c r="AU326" i="17" s="1"/>
  <c r="AU327" i="17" s="1"/>
  <c r="AU331" i="17" s="1"/>
  <c r="AU333" i="17" s="1"/>
  <c r="AU217" i="17" s="1"/>
  <c r="AU264" i="17" s="1"/>
  <c r="AU207" i="17" l="1"/>
  <c r="AU216" i="17" s="1"/>
  <c r="AU252" i="17"/>
  <c r="AU294" i="17" l="1"/>
  <c r="AU296" i="17" s="1"/>
  <c r="AU297" i="17" l="1"/>
  <c r="AU299" i="17" s="1"/>
  <c r="AU218" i="17" s="1"/>
  <c r="AU303" i="17" l="1"/>
  <c r="AU307" i="17" s="1"/>
  <c r="AU236" i="17" s="1"/>
  <c r="AU219" i="17"/>
  <c r="AU225" i="17" s="1"/>
  <c r="AU227" i="17" s="1"/>
  <c r="AU231" i="17" s="1"/>
  <c r="AU235" i="17" s="1"/>
  <c r="AU237" i="17" l="1"/>
  <c r="AU239" i="17" s="1"/>
  <c r="AU220" i="17"/>
  <c r="AV215" i="17" s="1"/>
  <c r="AU240" i="17" l="1"/>
  <c r="AU20" i="16" s="1"/>
  <c r="AU39" i="17"/>
  <c r="AU250" i="17"/>
  <c r="AU256" i="17" s="1"/>
  <c r="AU266" i="17" s="1"/>
  <c r="AU22" i="16" l="1"/>
  <c r="AU272" i="17"/>
  <c r="AU274" i="17" s="1"/>
  <c r="AU40" i="17" s="1"/>
  <c r="AU41" i="17" s="1"/>
  <c r="AU263" i="17"/>
  <c r="AU49" i="101" l="1"/>
  <c r="AU267" i="17"/>
  <c r="AV262" i="17" s="1"/>
  <c r="AV25" i="17"/>
  <c r="AU53" i="101" l="1"/>
  <c r="AV45" i="17"/>
  <c r="AV53" i="17" s="1"/>
  <c r="AV57" i="17" s="1"/>
  <c r="AV78" i="17" s="1"/>
  <c r="AV80" i="17" s="1"/>
  <c r="AV84" i="17" s="1"/>
  <c r="AV86" i="17" s="1"/>
  <c r="AU58" i="101" l="1"/>
  <c r="AV27" i="17"/>
  <c r="AV179" i="17"/>
  <c r="AU61" i="101" l="1"/>
  <c r="AU62" i="101" s="1"/>
  <c r="AU63" i="101" s="1"/>
  <c r="AU93" i="101"/>
  <c r="AU94" i="101" s="1"/>
  <c r="AV180" i="17"/>
  <c r="AV28" i="17"/>
  <c r="AV69" i="101" l="1"/>
  <c r="AV50" i="101" s="1"/>
  <c r="AU100" i="101"/>
  <c r="AU101" i="101" s="1"/>
  <c r="AV103" i="101" s="1"/>
  <c r="AU95" i="101"/>
  <c r="AV184" i="17"/>
  <c r="AV46" i="17"/>
  <c r="AV92" i="17" s="1"/>
  <c r="AV95" i="17" s="1"/>
  <c r="AV126" i="17"/>
  <c r="AV105" i="101" l="1"/>
  <c r="AV51" i="101" s="1"/>
  <c r="AV35" i="17"/>
  <c r="AV185" i="17"/>
  <c r="AV14" i="16" s="1"/>
  <c r="AV19" i="16" l="1"/>
  <c r="AV201" i="17" l="1"/>
  <c r="AV29" i="17"/>
  <c r="AV36" i="17" l="1"/>
  <c r="AV248" i="17"/>
  <c r="AV127" i="17" l="1"/>
  <c r="AV129" i="17" s="1"/>
  <c r="AV137" i="17" l="1"/>
  <c r="AV140" i="17" s="1"/>
  <c r="AV144" i="17"/>
  <c r="AV153" i="17"/>
  <c r="AV147" i="17" l="1"/>
  <c r="AV149" i="17"/>
  <c r="AV158" i="17"/>
  <c r="AV156" i="17"/>
  <c r="AV167" i="17" l="1"/>
  <c r="AV131" i="17" s="1"/>
  <c r="AV164" i="17"/>
  <c r="AV170" i="17" s="1"/>
  <c r="AV169" i="17" l="1"/>
  <c r="AV203" i="17" s="1"/>
  <c r="AV38" i="17"/>
  <c r="AV171" i="17"/>
  <c r="AV204" i="17"/>
  <c r="AV253" i="17" s="1"/>
  <c r="AV37" i="17" l="1"/>
  <c r="AV326" i="17"/>
  <c r="AV327" i="17" s="1"/>
  <c r="AV331" i="17" s="1"/>
  <c r="AV333" i="17" s="1"/>
  <c r="AV217" i="17" s="1"/>
  <c r="AV264" i="17" s="1"/>
  <c r="AV252" i="17"/>
  <c r="AV207" i="17"/>
  <c r="AV294" i="17" l="1"/>
  <c r="AV296" i="17" s="1"/>
  <c r="AV216" i="17"/>
  <c r="AV297" i="17" l="1"/>
  <c r="AV299" i="17" s="1"/>
  <c r="AV218" i="17" s="1"/>
  <c r="AV219" i="17" l="1"/>
  <c r="AV225" i="17" s="1"/>
  <c r="AV227" i="17" s="1"/>
  <c r="AV231" i="17" s="1"/>
  <c r="AV235" i="17" s="1"/>
  <c r="AV303" i="17"/>
  <c r="AV307" i="17" s="1"/>
  <c r="AV236" i="17" s="1"/>
  <c r="AV220" i="17" l="1"/>
  <c r="AV237" i="17"/>
  <c r="AV240" i="17" s="1"/>
  <c r="AV20" i="16" s="1"/>
  <c r="AV22" i="16" l="1"/>
  <c r="AV239" i="17"/>
  <c r="AV250" i="17" s="1"/>
  <c r="AV256" i="17" s="1"/>
  <c r="AV266" i="17" s="1"/>
  <c r="AV49" i="101" l="1"/>
  <c r="AV53" i="101" s="1"/>
  <c r="AV272" i="17"/>
  <c r="AV274" i="17" s="1"/>
  <c r="AV40" i="17" s="1"/>
  <c r="AV263" i="17"/>
  <c r="AV267" i="17" s="1"/>
  <c r="AV39" i="17"/>
  <c r="AV41" i="17" l="1"/>
  <c r="AV58" i="101"/>
  <c r="AV61" i="101" l="1"/>
  <c r="AV62" i="101" s="1"/>
  <c r="AV93" i="101"/>
  <c r="AV94" i="101" s="1"/>
  <c r="AV100" i="101" l="1"/>
  <c r="AV101" i="101" s="1"/>
  <c r="AV95" i="101"/>
  <c r="AV63" i="101"/>
  <c r="I7" i="86" l="1"/>
  <c r="I6" i="86" s="1"/>
  <c r="AM3" i="126" l="1"/>
  <c r="AM3" i="101"/>
  <c r="AM3" i="2"/>
  <c r="AM3" i="13"/>
  <c r="AM3" i="5"/>
  <c r="AM3" i="86"/>
  <c r="AM3" i="16"/>
  <c r="F8" i="21"/>
  <c r="AM3" i="17"/>
  <c r="AM3" i="15"/>
  <c r="AM3" i="6"/>
  <c r="AM3" i="125"/>
  <c r="AM3"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<sst xmlns="http://schemas.openxmlformats.org/spreadsheetml/2006/main" count="4572" uniqueCount="1399">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</sst>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6">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80" fontId="11" fillId="131" borderId="2" xfId="0" applyNumberFormat="1" applyFont="1" applyFill="1" applyBorder="1" applyAlignment="1">
      <alignment vertical="center"/>
    </xf>
    <xf numFmtId="180" fontId="11" fillId="131" borderId="0" xfId="0" applyNumberFormat="1" applyFont="1" applyFill="1" applyAlignment="1">
      <alignment vertical="center"/>
    </xf>
    <xf numFmtId="10" fontId="11" fillId="131" borderId="0" xfId="1" applyNumberFormat="1" applyFont="1" applyFill="1"/>
    <xf numFmtId="10" fontId="8" fillId="131" borderId="0" xfId="1" applyNumberFormat="1" applyFont="1" applyFill="1" applyAlignment="1">
      <alignment vertical="center"/>
    </xf>
    <xf numFmtId="14"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446">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1" val="0"/>
</file>

<file path=xl/ctrlProps/ctrlProp10.xml><?xml version="1.0" encoding="utf-8"?>
<formControlPr xmlns="http://schemas.microsoft.com/office/spreadsheetml/2009/9/main" objectType="Drop" dropLines="14" dropStyle="combo" dx="22" fmlaLink="UserInterface!$E$29" fmlaRange="UserInterface!$E$15:$E$28" sel="1" val="0"/>
</file>

<file path=xl/ctrlProps/ctrlProp11.xml><?xml version="1.0" encoding="utf-8"?>
<formControlPr xmlns="http://schemas.microsoft.com/office/spreadsheetml/2009/9/main" objectType="Drop" dropLines="14" dropStyle="combo" dx="22" fmlaLink="UserInterface!$E$29" fmlaRange="UserInterface!$E$15:$E$28" sel="1" val="0"/>
</file>

<file path=xl/ctrlProps/ctrlProp12.xml><?xml version="1.0" encoding="utf-8"?>
<formControlPr xmlns="http://schemas.microsoft.com/office/spreadsheetml/2009/9/main" objectType="Drop" dropLines="14" dropStyle="combo" dx="22" fmlaLink="UserInterface!$E$29" fmlaRange="UserInterface!$E$15:$E$28" sel="1" val="0"/>
</file>

<file path=xl/ctrlProps/ctrlProp13.xml><?xml version="1.0" encoding="utf-8"?>
<formControlPr xmlns="http://schemas.microsoft.com/office/spreadsheetml/2009/9/main" objectType="Drop" dropLines="14" dropStyle="combo" dx="22" fmlaLink="UserInterface!$E$29" fmlaRange="UserInterface!$E$15:$E$28" sel="1" val="0"/>
</file>

<file path=xl/ctrlProps/ctrlProp14.xml><?xml version="1.0" encoding="utf-8"?>
<formControlPr xmlns="http://schemas.microsoft.com/office/spreadsheetml/2009/9/main" objectType="Drop" dropLines="14" dropStyle="combo" dx="22" fmlaLink="UserInterface!$E$29" fmlaRange="UserInterface!$E$15:$E$28" sel="1" val="0"/>
</file>

<file path=xl/ctrlProps/ctrlProp15.xml><?xml version="1.0" encoding="utf-8"?>
<formControlPr xmlns="http://schemas.microsoft.com/office/spreadsheetml/2009/9/main" objectType="Drop" dropLines="14" dropStyle="combo" dx="22" fmlaLink="UserInterface!$E$29" fmlaRange="UserInterface!$E$15:$E$28" sel="1" val="0"/>
</file>

<file path=xl/ctrlProps/ctrlProp16.xml><?xml version="1.0" encoding="utf-8"?>
<formControlPr xmlns="http://schemas.microsoft.com/office/spreadsheetml/2009/9/main" objectType="Drop" dropLines="14" dropStyle="combo" dx="22" fmlaLink="UserInterface!$E$29" fmlaRange="UserInterface!$E$15:$E$28" sel="1" val="0"/>
</file>

<file path=xl/ctrlProps/ctrlProp17.xml><?xml version="1.0" encoding="utf-8"?>
<formControlPr xmlns="http://schemas.microsoft.com/office/spreadsheetml/2009/9/main" objectType="Drop" dropLines="14" dropStyle="combo" dx="22" fmlaLink="UserInterface!$E$29" fmlaRange="UserInterface!$E$15:$E$28" sel="1" val="0"/>
</file>

<file path=xl/ctrlProps/ctrlProp18.xml><?xml version="1.0" encoding="utf-8"?>
<formControlPr xmlns="http://schemas.microsoft.com/office/spreadsheetml/2009/9/main" objectType="Drop" dropLines="14" dropStyle="combo" dx="22" fmlaLink="UserInterface!$E$29" fmlaRange="UserInterface!$E$15:$E$28" sel="1" val="0"/>
</file>

<file path=xl/ctrlProps/ctrlProp19.xml><?xml version="1.0" encoding="utf-8"?>
<formControlPr xmlns="http://schemas.microsoft.com/office/spreadsheetml/2009/9/main" objectType="Drop" dropLines="14" dropStyle="combo" dx="22" fmlaLink="UserInterface!$E$29" fmlaRange="UserInterface!$E$15:$E$28" sel="1" val="0"/>
</file>

<file path=xl/ctrlProps/ctrlProp2.xml><?xml version="1.0" encoding="utf-8"?>
<formControlPr xmlns="http://schemas.microsoft.com/office/spreadsheetml/2009/9/main" objectType="Drop" dropLines="14" dropStyle="combo" dx="22" fmlaLink="UserInterface!$E$29" fmlaRange="UserInterface!$E$15:$E$28" sel="1" val="0"/>
</file>

<file path=xl/ctrlProps/ctrlProp20.xml><?xml version="1.0" encoding="utf-8"?>
<formControlPr xmlns="http://schemas.microsoft.com/office/spreadsheetml/2009/9/main" objectType="Drop" dropLines="14" dropStyle="combo" dx="22" fmlaLink="UserInterface!$E$29" fmlaRange="UserInterface!$E$15:$E$28" sel="1" val="0"/>
</file>

<file path=xl/ctrlProps/ctrlProp21.xml><?xml version="1.0" encoding="utf-8"?>
<formControlPr xmlns="http://schemas.microsoft.com/office/spreadsheetml/2009/9/main" objectType="Drop" dropLines="14" dropStyle="combo" dx="22" fmlaLink="UserInterface!$E$29" fmlaRange="UserInterface!$E$15:$E$28" sel="1" val="0"/>
</file>

<file path=xl/ctrlProps/ctrlProp22.xml><?xml version="1.0" encoding="utf-8"?>
<formControlPr xmlns="http://schemas.microsoft.com/office/spreadsheetml/2009/9/main" objectType="Drop" dropLines="14" dropStyle="combo" dx="22" fmlaLink="UserInterface!$E$29" fmlaRange="UserInterface!$E$15:$E$28" sel="1" val="0"/>
</file>

<file path=xl/ctrlProps/ctrlProp23.xml><?xml version="1.0" encoding="utf-8"?>
<formControlPr xmlns="http://schemas.microsoft.com/office/spreadsheetml/2009/9/main" objectType="Drop" dropLines="14" dropStyle="combo" dx="22" fmlaLink="UserInterface!$E$29" fmlaRange="UserInterface!$E$15:$E$28" sel="1" val="0"/>
</file>

<file path=xl/ctrlProps/ctrlProp24.xml><?xml version="1.0" encoding="utf-8"?>
<formControlPr xmlns="http://schemas.microsoft.com/office/spreadsheetml/2009/9/main" objectType="Drop" dropLines="14" dropStyle="combo" dx="22" fmlaLink="UserInterface!$E$29" fmlaRange="UserInterface!$E$15:$E$28" sel="1" val="0"/>
</file>

<file path=xl/ctrlProps/ctrlProp25.xml><?xml version="1.0" encoding="utf-8"?>
<formControlPr xmlns="http://schemas.microsoft.com/office/spreadsheetml/2009/9/main" objectType="Drop" dropLines="14" dropStyle="combo" dx="22" fmlaLink="UserInterface!$E$29" fmlaRange="UserInterface!$E$15:$E$28" sel="1" val="0"/>
</file>

<file path=xl/ctrlProps/ctrlProp26.xml><?xml version="1.0" encoding="utf-8"?>
<formControlPr xmlns="http://schemas.microsoft.com/office/spreadsheetml/2009/9/main" objectType="Drop" dropLines="14" dropStyle="combo" dx="22" fmlaLink="UserInterface!$E$29" fmlaRange="UserInterface!$E$15:$E$28" sel="1" val="0"/>
</file>

<file path=xl/ctrlProps/ctrlProp27.xml><?xml version="1.0" encoding="utf-8"?>
<formControlPr xmlns="http://schemas.microsoft.com/office/spreadsheetml/2009/9/main" objectType="Drop" dropLines="14" dropStyle="combo" dx="22" fmlaLink="UserInterface!$E$29" fmlaRange="UserInterface!$E$15:$E$28" sel="1" val="0"/>
</file>

<file path=xl/ctrlProps/ctrlProp28.xml><?xml version="1.0" encoding="utf-8"?>
<formControlPr xmlns="http://schemas.microsoft.com/office/spreadsheetml/2009/9/main" objectType="Drop" dropLines="14" dropStyle="combo" dx="22" fmlaLink="UserInterface!$E$29" fmlaRange="UserInterface!$E$15:$E$28" sel="1" val="0"/>
</file>

<file path=xl/ctrlProps/ctrlProp3.xml><?xml version="1.0" encoding="utf-8"?>
<formControlPr xmlns="http://schemas.microsoft.com/office/spreadsheetml/2009/9/main" objectType="Drop" dropLines="14" dropStyle="combo" dx="22" fmlaLink="UserInterface!$E$29" fmlaRange="UserInterface!$E$15:$E$28" sel="1" val="0"/>
</file>

<file path=xl/ctrlProps/ctrlProp4.xml><?xml version="1.0" encoding="utf-8"?>
<formControlPr xmlns="http://schemas.microsoft.com/office/spreadsheetml/2009/9/main" objectType="Drop" dropLines="14" dropStyle="combo" dx="22" fmlaLink="UserInterface!$E$29" fmlaRange="UserInterface!$E$15:$E$28" sel="1" val="0"/>
</file>

<file path=xl/ctrlProps/ctrlProp5.xml><?xml version="1.0" encoding="utf-8"?>
<formControlPr xmlns="http://schemas.microsoft.com/office/spreadsheetml/2009/9/main" objectType="Drop" dropLines="14" dropStyle="combo" dx="22" fmlaLink="UserInterface!$E$29" fmlaRange="UserInterface!$E$15:$E$28" sel="1" val="0"/>
</file>

<file path=xl/ctrlProps/ctrlProp6.xml><?xml version="1.0" encoding="utf-8"?>
<formControlPr xmlns="http://schemas.microsoft.com/office/spreadsheetml/2009/9/main" objectType="Drop" dropLines="14" dropStyle="combo" dx="22" fmlaLink="UserInterface!$E$29" fmlaRange="UserInterface!$E$15:$E$28" sel="1" val="0"/>
</file>

<file path=xl/ctrlProps/ctrlProp7.xml><?xml version="1.0" encoding="utf-8"?>
<formControlPr xmlns="http://schemas.microsoft.com/office/spreadsheetml/2009/9/main" objectType="Drop" dropLines="14" dropStyle="combo" dx="22" fmlaLink="UserInterface!$E$29" fmlaRange="UserInterface!$E$15:$E$28" sel="1" val="0"/>
</file>

<file path=xl/ctrlProps/ctrlProp8.xml><?xml version="1.0" encoding="utf-8"?>
<formControlPr xmlns="http://schemas.microsoft.com/office/spreadsheetml/2009/9/main" objectType="Drop" dropLines="14" dropStyle="combo" dx="22" fmlaLink="UserInterface!$E$29" fmlaRange="UserInterface!$E$15:$E$28" sel="1" val="0"/>
</file>

<file path=xl/ctrlProps/ctrlProp9.xml><?xml version="1.0" encoding="utf-8"?>
<formControlPr xmlns="http://schemas.microsoft.com/office/spreadsheetml/2009/9/main" objectType="Drop" dropLines="14" dropStyle="combo" dx="22" fmlaLink="UserInterface!$E$29" fmlaRange="UserInterface!$E$15:$E$28"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K26" sqref="K26"/>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6"/>
      <c r="K2" s="196"/>
      <c r="L2" s="196"/>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ENWL 20231231.xlsx</v>
      </c>
      <c r="H4" s="179"/>
      <c r="I4" s="179"/>
      <c r="J4" s="172"/>
      <c r="K4" s="172"/>
      <c r="L4" s="172"/>
    </row>
    <row r="5" spans="1:12" ht="15">
      <c r="A5" s="151"/>
      <c r="B5" s="151"/>
      <c r="C5" s="153" t="s">
        <v>7</v>
      </c>
      <c r="D5" s="155"/>
      <c r="E5" s="155"/>
      <c r="F5" s="155"/>
      <c r="G5" s="555">
        <v>45291</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948</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950</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951</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1.2891506141768156</v>
      </c>
      <c r="AS15" s="92">
        <f>InputSummary!AS$194</f>
        <v>1.3284361388165782</v>
      </c>
      <c r="AT15" s="92">
        <f>InputSummary!AT$194</f>
        <v>1.3511547218960771</v>
      </c>
      <c r="AU15" s="92">
        <f>InputSummary!AU$194</f>
        <v>1.3719916643626167</v>
      </c>
      <c r="AV15" s="92">
        <f>InputSummary!AV$194</f>
        <v>1.3966351746111914</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952</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953</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954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39.430417646668076</v>
      </c>
      <c r="AS22" s="8">
        <f>Totex!AS75</f>
        <v>73.542927474114308</v>
      </c>
      <c r="AT22" s="8">
        <f>Totex!AT75</f>
        <v>77.679474735187497</v>
      </c>
      <c r="AU22" s="8">
        <f>Totex!AU75</f>
        <v>76.95498459194863</v>
      </c>
      <c r="AV22" s="8">
        <f>Totex!AV75</f>
        <v>87.391740898882546</v>
      </c>
      <c r="AW22" s="2"/>
    </row>
    <row r="23" spans="1:49" s="82" customFormat="1" ht="15">
      <c r="A23" s="2"/>
      <c r="B23" s="2"/>
      <c r="C23" s="2"/>
      <c r="D23" s="2"/>
      <c r="E23" s="7" t="s">
        <v>955</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66.321918385439005</v>
      </c>
      <c r="AS23" s="8">
        <f>Totex!AS76</f>
        <v>86.008398568128655</v>
      </c>
      <c r="AT23" s="8">
        <f>Totex!AT76</f>
        <v>101.47202009911501</v>
      </c>
      <c r="AU23" s="8">
        <f>Totex!AU76</f>
        <v>109.13255669028969</v>
      </c>
      <c r="AV23" s="8">
        <f>Totex!AV76</f>
        <v>105.0698492913823</v>
      </c>
      <c r="AW23" s="2"/>
    </row>
    <row r="24" spans="1:49" s="82" customFormat="1" ht="15">
      <c r="A24" s="2"/>
      <c r="B24" s="2"/>
      <c r="C24" s="2"/>
      <c r="D24" s="2"/>
      <c r="E24" s="7" t="s">
        <v>956</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41.196172735871684</v>
      </c>
      <c r="AS24" s="8">
        <f>Totex!AS77</f>
        <v>42.419644457580091</v>
      </c>
      <c r="AT24" s="8">
        <f>Totex!AT77</f>
        <v>40.651879246007958</v>
      </c>
      <c r="AU24" s="8">
        <f>Totex!AU77</f>
        <v>32.83296309082931</v>
      </c>
      <c r="AV24" s="8">
        <f>Totex!AV77</f>
        <v>27.302175453238775</v>
      </c>
      <c r="AW24" s="2"/>
    </row>
    <row r="25" spans="1:49" s="82" customFormat="1" ht="15">
      <c r="A25" s="2"/>
      <c r="B25" s="2"/>
      <c r="C25" s="2"/>
      <c r="D25" s="2"/>
      <c r="E25" s="7" t="s">
        <v>957</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28.902803686529925</v>
      </c>
      <c r="AS25" s="8">
        <f>Totex!AS78</f>
        <v>29.182125748052144</v>
      </c>
      <c r="AT25" s="8">
        <f>Totex!AT78</f>
        <v>33.901591615685255</v>
      </c>
      <c r="AU25" s="8">
        <f>Totex!AU78</f>
        <v>35.286917945907334</v>
      </c>
      <c r="AV25" s="8">
        <f>Totex!AV78</f>
        <v>43.745685962019735</v>
      </c>
      <c r="AW25" s="2"/>
    </row>
    <row r="26" spans="1:49" s="82" customFormat="1" ht="15">
      <c r="A26" s="2"/>
      <c r="B26" s="2"/>
      <c r="C26" s="2"/>
      <c r="D26" s="2"/>
      <c r="E26" s="7" t="s">
        <v>958</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5.4933536209762854</v>
      </c>
      <c r="AS26" s="8">
        <f>Totex!AS79</f>
        <v>5.5344202968291825</v>
      </c>
      <c r="AT26" s="8">
        <f>Totex!AT79</f>
        <v>5.5691940758123835</v>
      </c>
      <c r="AU26" s="8">
        <f>Totex!AU79</f>
        <v>5.4951738695044305</v>
      </c>
      <c r="AV26" s="8">
        <f>Totex!AV79</f>
        <v>5.4611675950459775</v>
      </c>
      <c r="AW26" s="2"/>
    </row>
    <row r="27" spans="1:49" s="82" customFormat="1" ht="15">
      <c r="A27" s="2"/>
      <c r="B27" s="2"/>
      <c r="C27" s="2"/>
      <c r="D27" s="2"/>
      <c r="E27" s="7" t="s">
        <v>959</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14.548204838695739</v>
      </c>
      <c r="AS27" s="8">
        <f>Totex!AS80</f>
        <v>15.268458777090785</v>
      </c>
      <c r="AT27" s="8">
        <f>Totex!AT80</f>
        <v>15.469376571377039</v>
      </c>
      <c r="AU27" s="8">
        <f>Totex!AU80</f>
        <v>15.583631272058838</v>
      </c>
      <c r="AV27" s="8">
        <f>Totex!AV80</f>
        <v>15.587255036858997</v>
      </c>
      <c r="AW27" s="2"/>
    </row>
    <row r="28" spans="1:49" s="82" customFormat="1" ht="15">
      <c r="A28" s="2"/>
      <c r="B28" s="2"/>
      <c r="C28" s="2"/>
      <c r="D28" s="2"/>
      <c r="E28" s="7" t="s">
        <v>960</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123.86078986781932</v>
      </c>
      <c r="AS28" s="8">
        <f>Totex!AS81</f>
        <v>122.42508239966794</v>
      </c>
      <c r="AT28" s="8">
        <f>Totex!AT81</f>
        <v>123.67678924142614</v>
      </c>
      <c r="AU28" s="8">
        <f>Totex!AU81</f>
        <v>123.6590715988232</v>
      </c>
      <c r="AV28" s="8">
        <f>Totex!AV81</f>
        <v>124.0195783525009</v>
      </c>
      <c r="AW28" s="2"/>
    </row>
    <row r="29" spans="1:49" s="82" customFormat="1" ht="15">
      <c r="A29" s="2"/>
      <c r="B29" s="2"/>
      <c r="C29" s="2"/>
      <c r="D29" s="2"/>
      <c r="E29" s="13" t="s">
        <v>961</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319.753660782</v>
      </c>
      <c r="AS29" s="431">
        <f t="shared" si="0"/>
        <v>374.38105772146315</v>
      </c>
      <c r="AT29" s="431">
        <f t="shared" si="0"/>
        <v>398.42032558461131</v>
      </c>
      <c r="AU29" s="431">
        <f t="shared" si="0"/>
        <v>398.94529905936145</v>
      </c>
      <c r="AV29" s="431">
        <f t="shared" si="0"/>
        <v>408.57745258992929</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962</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963</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61.071101145848431</v>
      </c>
      <c r="AS33" s="8">
        <f>InputSummary!AS97</f>
        <v>41.105799882894559</v>
      </c>
      <c r="AT33" s="8">
        <f>InputSummary!AT97</f>
        <v>46.643071714351265</v>
      </c>
      <c r="AU33" s="8">
        <f>InputSummary!AU97</f>
        <v>46.996593097052049</v>
      </c>
      <c r="AV33" s="8">
        <f>InputSummary!AV97</f>
        <v>47.368929384296024</v>
      </c>
      <c r="AW33" s="2"/>
    </row>
    <row r="34" spans="1:49" s="82" customFormat="1" ht="15">
      <c r="A34" s="2"/>
      <c r="B34" s="2"/>
      <c r="C34" s="2"/>
      <c r="D34" s="2"/>
      <c r="E34" s="2" t="s">
        <v>964</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1.8666664800000001</v>
      </c>
      <c r="AS34" s="8">
        <f>InputSummary!AS124 * (-1)</f>
        <v>1.8666664800000001</v>
      </c>
      <c r="AT34" s="8">
        <f>InputSummary!AT124 * (-1)</f>
        <v>1.8666664800000001</v>
      </c>
      <c r="AU34" s="8">
        <f>InputSummary!AU124 * (-1)</f>
        <v>1.8666664800000001</v>
      </c>
      <c r="AV34" s="8">
        <f>InputSummary!AV124 * (-1)</f>
        <v>1.8666664799999997</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965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624</v>
      </c>
      <c r="G38" s="7" t="s">
        <v>209</v>
      </c>
      <c r="AJ38" s="193"/>
      <c r="AK38" s="193"/>
      <c r="AL38" s="193"/>
      <c r="AM38" s="193"/>
      <c r="AN38" s="193"/>
      <c r="AO38" s="193"/>
      <c r="AP38" s="193"/>
      <c r="AQ38" s="187"/>
      <c r="AR38" s="49">
        <f>SUMPRODUCT(AR$22:AR$28,InputSummary!AR436:AR442)/SUM(Totex!AR$75:AR$81)</f>
        <v>9.5653512214096514E-2</v>
      </c>
      <c r="AS38" s="49">
        <f>SUMPRODUCT(AS$22:AS$28,InputSummary!AS436:AS442)/SUM(Totex!AS$75:AS$81)</f>
        <v>0.10419443212197724</v>
      </c>
      <c r="AT38" s="49">
        <f>SUMPRODUCT(AT$22:AT$28,InputSummary!AT436:AT442)/SUM(Totex!AT$75:AT$81)</f>
        <v>0.10599885784551583</v>
      </c>
      <c r="AU38" s="49">
        <f>SUMPRODUCT(AU$22:AU$28,InputSummary!AU436:AU442)/SUM(Totex!AU$75:AU$81)</f>
        <v>0.10582771058927354</v>
      </c>
      <c r="AV38" s="49">
        <f>SUMPRODUCT(AV$22:AV$28,InputSummary!AV436:AV442)/SUM(Totex!AV$75:AV$81)</f>
        <v>0.10554020203745135</v>
      </c>
    </row>
    <row r="39" spans="1:49" s="82" customFormat="1" ht="15">
      <c r="E39" s="82" t="s">
        <v>625</v>
      </c>
      <c r="G39" s="7" t="s">
        <v>209</v>
      </c>
      <c r="AJ39" s="193"/>
      <c r="AK39" s="193"/>
      <c r="AL39" s="193"/>
      <c r="AM39" s="193"/>
      <c r="AN39" s="193"/>
      <c r="AO39" s="193"/>
      <c r="AP39" s="193"/>
      <c r="AQ39" s="187"/>
      <c r="AR39" s="49">
        <f>SUMPRODUCT(AR$22:AR$28,InputSummary!AR443:AR449)/SUM(Totex!AR$75:AR$81)</f>
        <v>0.2448543964739289</v>
      </c>
      <c r="AS39" s="49">
        <f>SUMPRODUCT(AS$22:AS$28,InputSummary!AS443:AS449)/SUM(Totex!AS$75:AS$81)</f>
        <v>0.26671749110547238</v>
      </c>
      <c r="AT39" s="49">
        <f>SUMPRODUCT(AT$22:AT$28,InputSummary!AT443:AT449)/SUM(Totex!AT$75:AT$81)</f>
        <v>0.27133647018206047</v>
      </c>
      <c r="AU39" s="49">
        <f>SUMPRODUCT(AU$22:AU$28,InputSummary!AU443:AU449)/SUM(Totex!AU$75:AU$81)</f>
        <v>0.27089836647666204</v>
      </c>
      <c r="AV39" s="49">
        <f>SUMPRODUCT(AV$22:AV$28,InputSummary!AV443:AV449)/SUM(Totex!AV$75:AV$81)</f>
        <v>0.27016240047491236</v>
      </c>
    </row>
    <row r="40" spans="1:49" s="82" customFormat="1" ht="15">
      <c r="E40" s="82" t="s">
        <v>626</v>
      </c>
      <c r="G40" s="7" t="s">
        <v>209</v>
      </c>
      <c r="AJ40" s="193"/>
      <c r="AK40" s="193"/>
      <c r="AL40" s="193"/>
      <c r="AM40" s="193"/>
      <c r="AN40" s="193"/>
      <c r="AO40" s="193"/>
      <c r="AP40" s="193"/>
      <c r="AQ40" s="187"/>
      <c r="AR40" s="49">
        <f>SUMPRODUCT(AR$22:AR$28,InputSummary!AR450:AR456)/SUM(Totex!AR$75:AR$81)</f>
        <v>0.24817044910183456</v>
      </c>
      <c r="AS40" s="49">
        <f>SUMPRODUCT(AS$22:AS$28,InputSummary!AS450:AS456)/SUM(Totex!AS$75:AS$81)</f>
        <v>0.27032963468968163</v>
      </c>
      <c r="AT40" s="49">
        <f>SUMPRODUCT(AT$22:AT$28,InputSummary!AT450:AT456)/SUM(Totex!AT$75:AT$81)</f>
        <v>0.27501116840251771</v>
      </c>
      <c r="AU40" s="49">
        <f>SUMPRODUCT(AU$22:AU$28,InputSummary!AU450:AU456)/SUM(Totex!AU$75:AU$81)</f>
        <v>0.27456713147735889</v>
      </c>
      <c r="AV40" s="49">
        <f>SUMPRODUCT(AV$22:AV$28,InputSummary!AV450:AV456)/SUM(Totex!AV$75:AV$81)</f>
        <v>0.27382119831949808</v>
      </c>
    </row>
    <row r="41" spans="1:49" s="82" customFormat="1" ht="15">
      <c r="E41" s="82" t="s">
        <v>627</v>
      </c>
      <c r="G41" s="7" t="s">
        <v>209</v>
      </c>
      <c r="AJ41" s="193"/>
      <c r="AK41" s="193"/>
      <c r="AL41" s="193"/>
      <c r="AM41" s="193"/>
      <c r="AN41" s="193"/>
      <c r="AO41" s="193"/>
      <c r="AP41" s="193"/>
      <c r="AQ41" s="187"/>
      <c r="AR41" s="49">
        <f>SUMPRODUCT(AR$22:AR$28,InputSummary!AR457:AR463)/SUM(Totex!AR$75:AR$81)</f>
        <v>1.968382901323993E-2</v>
      </c>
      <c r="AS41" s="49">
        <f>SUMPRODUCT(AS$22:AS$28,InputSummary!AS457:AS463)/SUM(Totex!AS$75:AS$81)</f>
        <v>2.1441401769232524E-2</v>
      </c>
      <c r="AT41" s="49">
        <f>SUMPRODUCT(AT$22:AT$28,InputSummary!AT457:AT463)/SUM(Totex!AT$75:AT$81)</f>
        <v>2.181272119689481E-2</v>
      </c>
      <c r="AU41" s="49">
        <f>SUMPRODUCT(AU$22:AU$28,InputSummary!AU457:AU463)/SUM(Totex!AU$75:AU$81)</f>
        <v>2.1777502068501299E-2</v>
      </c>
      <c r="AV41" s="49">
        <f>SUMPRODUCT(AV$22:AV$28,InputSummary!AV457:AV463)/SUM(Totex!AV$75:AV$81)</f>
        <v>2.1718337809469749E-2</v>
      </c>
    </row>
    <row r="42" spans="1:49" s="82" customFormat="1" ht="15">
      <c r="E42" s="82" t="s">
        <v>628</v>
      </c>
      <c r="G42" s="7" t="s">
        <v>209</v>
      </c>
      <c r="AJ42" s="193"/>
      <c r="AK42" s="193"/>
      <c r="AL42" s="193"/>
      <c r="AM42" s="193"/>
      <c r="AN42" s="193"/>
      <c r="AO42" s="193"/>
      <c r="AP42" s="193"/>
      <c r="AQ42" s="187"/>
      <c r="AR42" s="49">
        <f>SUMPRODUCT(AR$22:AR$28,InputSummary!AR464:AR470)/SUM(Totex!AR$75:AR$81)</f>
        <v>0.37916862096339776</v>
      </c>
      <c r="AS42" s="49">
        <f>SUMPRODUCT(AS$22:AS$28,InputSummary!AS464:AS470)/SUM(Totex!AS$75:AS$81)</f>
        <v>0.32373447158493568</v>
      </c>
      <c r="AT42" s="49">
        <f>SUMPRODUCT(AT$22:AT$28,InputSummary!AT464:AT470)/SUM(Totex!AT$75:AT$81)</f>
        <v>0.31202299247263499</v>
      </c>
      <c r="AU42" s="49">
        <f>SUMPRODUCT(AU$22:AU$28,InputSummary!AU464:AU470)/SUM(Totex!AU$75:AU$81)</f>
        <v>0.31313380988698575</v>
      </c>
      <c r="AV42" s="49">
        <f>SUMPRODUCT(AV$22:AV$28,InputSummary!AV464:AV470)/SUM(Totex!AV$75:AV$81)</f>
        <v>0.3149998608722655</v>
      </c>
    </row>
    <row r="43" spans="1:49" s="82" customFormat="1" ht="15">
      <c r="E43" s="82" t="s">
        <v>629</v>
      </c>
      <c r="G43" s="7" t="s">
        <v>209</v>
      </c>
      <c r="AJ43" s="193"/>
      <c r="AK43" s="193"/>
      <c r="AL43" s="193"/>
      <c r="AM43" s="193"/>
      <c r="AN43" s="193"/>
      <c r="AO43" s="193"/>
      <c r="AP43" s="193"/>
      <c r="AQ43" s="187"/>
      <c r="AR43" s="49">
        <f>SUMPRODUCT(AR$22:AR$28,InputSummary!AR471:AR477)/SUM(Totex!AR$75:AR$81)</f>
        <v>1.2469192233502494E-2</v>
      </c>
      <c r="AS43" s="49">
        <f>SUMPRODUCT(AS$22:AS$28,InputSummary!AS471:AS477)/SUM(Totex!AS$75:AS$81)</f>
        <v>1.3582568728700528E-2</v>
      </c>
      <c r="AT43" s="49">
        <f>SUMPRODUCT(AT$22:AT$28,InputSummary!AT471:AT477)/SUM(Totex!AT$75:AT$81)</f>
        <v>1.3817789900376057E-2</v>
      </c>
      <c r="AU43" s="49">
        <f>SUMPRODUCT(AU$22:AU$28,InputSummary!AU471:AU477)/SUM(Totex!AU$75:AU$81)</f>
        <v>1.3795479501218476E-2</v>
      </c>
      <c r="AV43" s="49">
        <f>SUMPRODUCT(AV$22:AV$28,InputSummary!AV471:AV477)/SUM(Totex!AV$75:AV$81)</f>
        <v>1.3758000486402763E-2</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966</v>
      </c>
      <c r="G46" s="2" t="s">
        <v>105</v>
      </c>
      <c r="AJ46" s="307"/>
      <c r="AK46" s="307"/>
      <c r="AL46" s="307"/>
      <c r="AM46" s="307"/>
      <c r="AN46" s="307"/>
      <c r="AO46" s="307"/>
      <c r="AP46" s="307"/>
      <c r="AQ46" s="308"/>
      <c r="AR46" s="307">
        <f t="shared" ref="AR46:AV49" si="2">AR38 * AR$29</f>
        <v>30.58556069711311</v>
      </c>
      <c r="AS46" s="307">
        <f t="shared" si="2"/>
        <v>39.008421706513033</v>
      </c>
      <c r="AT46" s="307">
        <f t="shared" si="2"/>
        <v>42.232099454407347</v>
      </c>
      <c r="AU46" s="307">
        <f t="shared" si="2"/>
        <v>42.219467649805281</v>
      </c>
      <c r="AV46" s="307">
        <f t="shared" si="2"/>
        <v>43.121346894288337</v>
      </c>
    </row>
    <row r="47" spans="1:49" s="82" customFormat="1" ht="15">
      <c r="E47" s="82" t="s">
        <v>967</v>
      </c>
      <c r="G47" s="2" t="s">
        <v>105</v>
      </c>
      <c r="AJ47" s="307"/>
      <c r="AK47" s="307"/>
      <c r="AL47" s="307"/>
      <c r="AM47" s="307"/>
      <c r="AN47" s="307"/>
      <c r="AO47" s="307"/>
      <c r="AP47" s="307"/>
      <c r="AQ47" s="308"/>
      <c r="AR47" s="307">
        <f t="shared" si="2"/>
        <v>78.293089631106</v>
      </c>
      <c r="AS47" s="307">
        <f t="shared" si="2"/>
        <v>99.853976432881694</v>
      </c>
      <c r="AT47" s="307">
        <f t="shared" si="2"/>
        <v>108.10596479291571</v>
      </c>
      <c r="AU47" s="307">
        <f t="shared" si="2"/>
        <v>108.07362982872444</v>
      </c>
      <c r="AV47" s="307">
        <f t="shared" si="2"/>
        <v>110.38226537161999</v>
      </c>
    </row>
    <row r="48" spans="1:49" s="82" customFormat="1" ht="15">
      <c r="E48" s="82" t="s">
        <v>968</v>
      </c>
      <c r="G48" s="2" t="s">
        <v>105</v>
      </c>
      <c r="AJ48" s="307"/>
      <c r="AK48" s="307"/>
      <c r="AL48" s="307"/>
      <c r="AM48" s="307"/>
      <c r="AN48" s="307"/>
      <c r="AO48" s="307"/>
      <c r="AP48" s="307"/>
      <c r="AQ48" s="308"/>
      <c r="AR48" s="307">
        <f t="shared" si="2"/>
        <v>79.353409598224601</v>
      </c>
      <c r="AS48" s="307">
        <f t="shared" si="2"/>
        <v>101.20629456857975</v>
      </c>
      <c r="AT48" s="307">
        <f t="shared" si="2"/>
        <v>109.57003925433547</v>
      </c>
      <c r="AU48" s="307">
        <f t="shared" si="2"/>
        <v>109.53726637910596</v>
      </c>
      <c r="AV48" s="307">
        <f t="shared" si="2"/>
        <v>111.87716767450236</v>
      </c>
    </row>
    <row r="49" spans="1:49" s="82" customFormat="1" ht="15">
      <c r="E49" s="82" t="s">
        <v>969</v>
      </c>
      <c r="G49" s="2" t="s">
        <v>105</v>
      </c>
      <c r="AJ49" s="307"/>
      <c r="AK49" s="307"/>
      <c r="AL49" s="307"/>
      <c r="AM49" s="307"/>
      <c r="AN49" s="307"/>
      <c r="AO49" s="307"/>
      <c r="AP49" s="307"/>
      <c r="AQ49" s="308"/>
      <c r="AR49" s="307">
        <f t="shared" si="2"/>
        <v>6.29397638519041</v>
      </c>
      <c r="AS49" s="307">
        <f t="shared" si="2"/>
        <v>8.0272546733961239</v>
      </c>
      <c r="AT49" s="307">
        <f t="shared" si="2"/>
        <v>8.6906314811531828</v>
      </c>
      <c r="AU49" s="307">
        <f t="shared" si="2"/>
        <v>8.6880320754841129</v>
      </c>
      <c r="AV49" s="307">
        <f t="shared" si="2"/>
        <v>8.8736231366806955</v>
      </c>
    </row>
    <row r="50" spans="1:49" s="82" customFormat="1" ht="15">
      <c r="E50" s="82" t="s">
        <v>970</v>
      </c>
      <c r="G50" s="2" t="s">
        <v>105</v>
      </c>
      <c r="AJ50" s="307"/>
      <c r="AK50" s="307"/>
      <c r="AL50" s="307"/>
      <c r="AM50" s="307"/>
      <c r="AN50" s="307"/>
      <c r="AO50" s="307"/>
      <c r="AP50" s="307"/>
      <c r="AQ50" s="308"/>
      <c r="AR50" s="307">
        <f>AR42 * AR$29 + AR33 + AR34</f>
        <v>184.17832223255743</v>
      </c>
      <c r="AS50" s="307">
        <f t="shared" ref="AS50:AV50" si="3">AS42 * AS$29 + AS33 + AS34</f>
        <v>164.17252025576173</v>
      </c>
      <c r="AT50" s="307">
        <f t="shared" si="3"/>
        <v>172.8260404451832</v>
      </c>
      <c r="AU50" s="307">
        <f t="shared" si="3"/>
        <v>173.78652100801281</v>
      </c>
      <c r="AV50" s="307">
        <f t="shared" si="3"/>
        <v>177.93743658566839</v>
      </c>
    </row>
    <row r="51" spans="1:49" s="82" customFormat="1" ht="15">
      <c r="E51" s="82" t="s">
        <v>971</v>
      </c>
      <c r="G51" s="2" t="s">
        <v>105</v>
      </c>
      <c r="AJ51" s="307"/>
      <c r="AK51" s="307"/>
      <c r="AL51" s="307"/>
      <c r="AM51" s="307"/>
      <c r="AN51" s="307"/>
      <c r="AO51" s="307"/>
      <c r="AP51" s="307"/>
      <c r="AQ51" s="308"/>
      <c r="AR51" s="307">
        <f>AR43 * AR$29</f>
        <v>3.9870698636569055</v>
      </c>
      <c r="AS51" s="307">
        <f>AS43 * AS$29</f>
        <v>5.085056447225373</v>
      </c>
      <c r="AT51" s="307">
        <f>AT43 * AT$29</f>
        <v>5.5052883509675823</v>
      </c>
      <c r="AU51" s="307">
        <f>AU43 * AU$29</f>
        <v>5.5036416952808951</v>
      </c>
      <c r="AV51" s="307">
        <f>AV43 * AV$29</f>
        <v>5.6212087914654489</v>
      </c>
    </row>
    <row r="52" spans="1:49" s="82" customFormat="1" ht="15">
      <c r="AQ52" s="147"/>
    </row>
    <row r="53" spans="1:49" s="82" customFormat="1" ht="15">
      <c r="A53" s="2"/>
      <c r="B53" s="22" t="s">
        <v>972</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973</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974</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975</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976</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InputSummary!AR265</f>
        <v>0.18</v>
      </c>
      <c r="AS59" s="132">
        <f>InputSummary!AS265</f>
        <v>0.18</v>
      </c>
      <c r="AT59" s="132">
        <f>InputSummary!AT265</f>
        <v>0.18</v>
      </c>
      <c r="AU59" s="132">
        <f>InputSummary!AU265</f>
        <v>0.18</v>
      </c>
      <c r="AV59" s="132">
        <f>InputSummary!AV265</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977</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InputSummary!AR272</f>
        <v>71.307668294850316</v>
      </c>
      <c r="AS61" s="79">
        <f>InputSummary!AS272</f>
        <v>0</v>
      </c>
      <c r="AT61" s="79">
        <f>InputSummary!AT272</f>
        <v>0</v>
      </c>
      <c r="AU61" s="79">
        <f>InputSummary!AU272</f>
        <v>0</v>
      </c>
      <c r="AV61" s="79">
        <f>InputSummary!AV272</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978</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71.307668294850316</v>
      </c>
      <c r="AS63" s="7">
        <f>AR68 + AS61</f>
        <v>90.804391375030292</v>
      </c>
      <c r="AT63" s="7">
        <f>AS68 + AT61</f>
        <v>116.95216256029059</v>
      </c>
      <c r="AU63" s="7">
        <f>AT68 + AU61</f>
        <v>142.6916957860322</v>
      </c>
      <c r="AV63" s="7">
        <f>AU68 + AV61</f>
        <v>164.50549184982162</v>
      </c>
      <c r="AW63" s="7"/>
    </row>
    <row r="64" spans="1:49" s="21" customFormat="1" ht="15">
      <c r="A64" s="82"/>
      <c r="E64" s="21" t="s">
        <v>979</v>
      </c>
      <c r="G64" s="21" t="s">
        <v>304</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SelectedInputs!AR283</f>
        <v>0</v>
      </c>
      <c r="AS64" s="7">
        <f>SelectedInputs!AS283</f>
        <v>0</v>
      </c>
      <c r="AT64" s="7">
        <f>SelectedInputs!AT283</f>
        <v>0</v>
      </c>
      <c r="AU64" s="7">
        <f>SelectedInputs!AU283</f>
        <v>0</v>
      </c>
      <c r="AV64" s="7">
        <f>SelectedInputs!AV283</f>
        <v>0</v>
      </c>
      <c r="AW64" s="7"/>
    </row>
    <row r="65" spans="1:49" s="21" customFormat="1" ht="15">
      <c r="A65" s="82"/>
      <c r="E65" s="21" t="s">
        <v>980</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39.42939435762564</v>
      </c>
      <c r="AS65" s="7">
        <f>AS$46 * AS$15</f>
        <v>51.82019711312897</v>
      </c>
      <c r="AT65" s="7">
        <f>AT$46 * AT$15</f>
        <v>57.06210059340723</v>
      </c>
      <c r="AU65" s="7">
        <f>AU$46 * AU$15</f>
        <v>57.92475768936</v>
      </c>
      <c r="AV65" s="7">
        <f>AV$46 * AV$15</f>
        <v>60.224789849174144</v>
      </c>
      <c r="AW65" s="7"/>
    </row>
    <row r="66" spans="1:49" s="21" customFormat="1" ht="15">
      <c r="A66" s="82"/>
      <c r="E66" s="21" t="s">
        <v>981</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110.73706265247596</v>
      </c>
      <c r="AS66" s="431">
        <f>SUM(AS63:AS65)</f>
        <v>142.62458848815925</v>
      </c>
      <c r="AT66" s="431">
        <f>SUM(AT63:AT65)</f>
        <v>174.01426315369781</v>
      </c>
      <c r="AU66" s="431">
        <f>SUM(AU63:AU65)</f>
        <v>200.61645347539221</v>
      </c>
      <c r="AV66" s="431">
        <f>SUM(AV63:AV65)</f>
        <v>224.73028169899578</v>
      </c>
      <c r="AW66" s="7"/>
    </row>
    <row r="67" spans="1:49" s="21" customFormat="1" ht="15">
      <c r="A67" s="82"/>
      <c r="E67" s="21" t="s">
        <v>982</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-19.932671277445671</v>
      </c>
      <c r="AS67" s="7">
        <f>-AS66 * AS59</f>
        <v>-25.672425927868662</v>
      </c>
      <c r="AT67" s="7">
        <f>-AT66 * AT59</f>
        <v>-31.322567367665606</v>
      </c>
      <c r="AU67" s="7">
        <f>-AU66 * AU59</f>
        <v>-36.110961625570596</v>
      </c>
      <c r="AV67" s="7">
        <f>-AV66 * AV59</f>
        <v>-40.451450705819241</v>
      </c>
      <c r="AW67" s="7"/>
    </row>
    <row r="68" spans="1:49" s="21" customFormat="1" ht="15">
      <c r="A68" s="82"/>
      <c r="E68" s="21" t="s">
        <v>983</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90.804391375030292</v>
      </c>
      <c r="AS68" s="461">
        <f t="shared" si="4"/>
        <v>116.95216256029059</v>
      </c>
      <c r="AT68" s="461">
        <f t="shared" si="4"/>
        <v>142.6916957860322</v>
      </c>
      <c r="AU68" s="461">
        <f t="shared" si="4"/>
        <v>164.50549184982162</v>
      </c>
      <c r="AV68" s="461">
        <f t="shared" si="4"/>
        <v>184.27883099317654</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984</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976</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InputSummary!AR266</f>
        <v>0.06</v>
      </c>
      <c r="AS72" s="132">
        <f>InputSummary!AS266</f>
        <v>0.06</v>
      </c>
      <c r="AT72" s="132">
        <f>InputSummary!AT266</f>
        <v>0.06</v>
      </c>
      <c r="AU72" s="132">
        <f>InputSummary!AU266</f>
        <v>0.06</v>
      </c>
      <c r="AV72" s="132">
        <f>InputSummary!AV266</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977</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InputSummary!AR273</f>
        <v>628.2455801054839</v>
      </c>
      <c r="AS74" s="79">
        <f>InputSummary!AS273</f>
        <v>0</v>
      </c>
      <c r="AT74" s="79">
        <f>InputSummary!AT273</f>
        <v>0</v>
      </c>
      <c r="AU74" s="79">
        <f>InputSummary!AU273</f>
        <v>0</v>
      </c>
      <c r="AV74" s="79">
        <f>InputSummary!AV273</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978</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628.2455801054839</v>
      </c>
      <c r="AS76" s="7">
        <f>AR81 + AS74</f>
        <v>685.42653480787123</v>
      </c>
      <c r="AT76" s="7">
        <f>AS81 + AT74</f>
        <v>768.99159576349916</v>
      </c>
      <c r="AU76" s="7">
        <f>AT81 + AU74</f>
        <v>860.15591172506367</v>
      </c>
      <c r="AV76" s="7">
        <f>AU81 + AV74</f>
        <v>947.92610912823557</v>
      </c>
      <c r="AW76" s="7"/>
    </row>
    <row r="77" spans="1:49" s="21" customFormat="1" ht="15">
      <c r="A77" s="82"/>
      <c r="E77" s="21" t="s">
        <v>979</v>
      </c>
      <c r="G77" s="21" t="s">
        <v>304</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SelectedInputs!AR284</f>
        <v>0</v>
      </c>
      <c r="AS77" s="7">
        <f>SelectedInputs!AS284</f>
        <v>0</v>
      </c>
      <c r="AT77" s="7">
        <f>SelectedInputs!AT284</f>
        <v>0</v>
      </c>
      <c r="AU77" s="7">
        <f>SelectedInputs!AU284</f>
        <v>0</v>
      </c>
      <c r="AV77" s="7">
        <f>SelectedInputs!AV284</f>
        <v>0</v>
      </c>
      <c r="AW77" s="7"/>
    </row>
    <row r="78" spans="1:49" s="21" customFormat="1" ht="15">
      <c r="A78" s="82"/>
      <c r="E78" s="21" t="s">
        <v>980</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100.93158458374077</v>
      </c>
      <c r="AS78" s="7">
        <f>AS$47 * AS$15</f>
        <v>132.64963089797897</v>
      </c>
      <c r="AT78" s="7">
        <f>AT$47 * AT$15</f>
        <v>146.06788479507912</v>
      </c>
      <c r="AU78" s="7">
        <f>AU$47 * AU$15</f>
        <v>148.27611926242096</v>
      </c>
      <c r="AV78" s="7">
        <f>AV$47 * AV$15</f>
        <v>154.16375447127135</v>
      </c>
      <c r="AW78" s="7"/>
    </row>
    <row r="79" spans="1:49" s="21" customFormat="1" ht="15">
      <c r="A79" s="82"/>
      <c r="E79" s="21" t="s">
        <v>981</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729.1771646892247</v>
      </c>
      <c r="AS79" s="431">
        <f>SUM(AS76:AS78)</f>
        <v>818.07616570585014</v>
      </c>
      <c r="AT79" s="431">
        <f>SUM(AT76:AT78)</f>
        <v>915.05948055857834</v>
      </c>
      <c r="AU79" s="431">
        <f>SUM(AU76:AU78)</f>
        <v>1008.4320309874846</v>
      </c>
      <c r="AV79" s="431">
        <f>SUM(AV76:AV78)</f>
        <v>1102.089863599507</v>
      </c>
      <c r="AW79" s="7"/>
    </row>
    <row r="80" spans="1:49" s="21" customFormat="1" ht="15">
      <c r="A80" s="82"/>
      <c r="E80" s="21" t="s">
        <v>985</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-43.750629881353483</v>
      </c>
      <c r="AS80" s="7">
        <f>-AS79 * AS72</f>
        <v>-49.08456994235101</v>
      </c>
      <c r="AT80" s="7">
        <f>-AT79 * AT72</f>
        <v>-54.903568833514697</v>
      </c>
      <c r="AU80" s="7">
        <f>-AU79 * AU72</f>
        <v>-60.505921859249071</v>
      </c>
      <c r="AV80" s="7">
        <f>-AV79 * AV72</f>
        <v>-66.125391815970417</v>
      </c>
      <c r="AW80" s="7"/>
    </row>
    <row r="81" spans="1:49" s="21" customFormat="1" ht="15">
      <c r="A81" s="82"/>
      <c r="E81" s="21" t="s">
        <v>983</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685.42653480787123</v>
      </c>
      <c r="AS81" s="461">
        <f t="shared" si="5"/>
        <v>768.99159576349916</v>
      </c>
      <c r="AT81" s="461">
        <f t="shared" si="5"/>
        <v>860.15591172506367</v>
      </c>
      <c r="AU81" s="461">
        <f t="shared" si="5"/>
        <v>947.92610912823557</v>
      </c>
      <c r="AV81" s="461">
        <f t="shared" si="5"/>
        <v>1035.9644717835365</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986</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976</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InputSummary!AR268</f>
        <v>2.2200000000000001E-2</v>
      </c>
      <c r="AS85" s="132">
        <f>InputSummary!AS268</f>
        <v>2.2200000000000001E-2</v>
      </c>
      <c r="AT85" s="132">
        <f>InputSummary!AT268</f>
        <v>2.2200000000000001E-2</v>
      </c>
      <c r="AU85" s="132">
        <f>InputSummary!AU268</f>
        <v>2.2200000000000001E-2</v>
      </c>
      <c r="AV85" s="132">
        <f>InputSummary!AV268</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977</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InputSummary!AR274</f>
        <v>1145.01039268363</v>
      </c>
      <c r="AS87" s="79">
        <f>InputSummary!AS274</f>
        <v>0</v>
      </c>
      <c r="AT87" s="79">
        <f>InputSummary!AT274</f>
        <v>0</v>
      </c>
      <c r="AU87" s="79">
        <f>InputSummary!AU274</f>
        <v>0</v>
      </c>
      <c r="AV87" s="79">
        <f>InputSummary!AV274</f>
        <v>0</v>
      </c>
    </row>
    <row r="88" spans="1:49" s="72" customFormat="1" ht="15">
      <c r="A88" s="82"/>
      <c r="B88" s="21"/>
      <c r="C88" s="73"/>
      <c r="E88" s="82" t="s">
        <v>987</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7">
        <f>InputSummary!AQ275</f>
        <v>1428.7456461475876</v>
      </c>
      <c r="AR88" s="79">
        <f>InputSummary!AR275</f>
        <v>0</v>
      </c>
      <c r="AS88" s="79">
        <f>InputSummary!AS275</f>
        <v>0</v>
      </c>
      <c r="AT88" s="79">
        <f>InputSummary!AT275</f>
        <v>0</v>
      </c>
      <c r="AU88" s="79">
        <f>InputSummary!AU275</f>
        <v>0</v>
      </c>
      <c r="AV88" s="79">
        <f>InputSummary!AV275</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978</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1145.01039268363</v>
      </c>
      <c r="AS90" s="7">
        <f>AR94 + AS87</f>
        <v>1213.3197094325326</v>
      </c>
      <c r="AT90" s="7">
        <f>AS94 + AT87</f>
        <v>1310.7919252396669</v>
      </c>
      <c r="AU90" s="7">
        <f>AT94 + AU87</f>
        <v>1418.5774948976641</v>
      </c>
      <c r="AV90" s="7">
        <f>AU94 + AV87</f>
        <v>1525.2648954437441</v>
      </c>
      <c r="AW90" s="7"/>
    </row>
    <row r="91" spans="1:49" s="21" customFormat="1" ht="15">
      <c r="A91" s="82"/>
      <c r="E91" s="21" t="s">
        <v>980</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102.29849672057566</v>
      </c>
      <c r="AS91" s="7">
        <f>AS$48 * AS$15</f>
        <v>134.44609918061732</v>
      </c>
      <c r="AT91" s="7">
        <f>AT$48 * AT$15</f>
        <v>148.0460759168339</v>
      </c>
      <c r="AU91" s="7">
        <f>AU$48 * AU$15</f>
        <v>150.28421640920087</v>
      </c>
      <c r="AV91" s="7">
        <f>AV$48 * AV$15</f>
        <v>156.25158761008413</v>
      </c>
      <c r="AW91" s="7"/>
    </row>
    <row r="92" spans="1:49" s="21" customFormat="1" ht="15">
      <c r="A92" s="82"/>
      <c r="E92" s="21" t="s">
        <v>981</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1247.3088894042057</v>
      </c>
      <c r="AS92" s="431">
        <f>SUM(AS90:AS91)</f>
        <v>1347.7658086131498</v>
      </c>
      <c r="AT92" s="431">
        <f>SUM(AT90:AT91)</f>
        <v>1458.8380011565007</v>
      </c>
      <c r="AU92" s="431">
        <f>SUM(AU90:AU91)</f>
        <v>1568.8617113068649</v>
      </c>
      <c r="AV92" s="431">
        <f>SUM(AV90:AV91)</f>
        <v>1681.5164830538283</v>
      </c>
      <c r="AW92" s="7"/>
    </row>
    <row r="93" spans="1:49" s="21" customFormat="1" ht="15">
      <c r="A93" s="82"/>
      <c r="E93" s="21" t="s">
        <v>988</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-33.989179971673231</v>
      </c>
      <c r="AS93" s="7">
        <f>-(SUM($AJ91:AS91,$AJ88:AS88))*AS85</f>
        <v>-36.973883373482934</v>
      </c>
      <c r="AT93" s="7">
        <f>-(SUM($AJ91:AT91,$AJ88:AT88))*AT85</f>
        <v>-40.260506258836649</v>
      </c>
      <c r="AU93" s="7">
        <f>-(SUM($AJ91:AU91,$AJ88:AU88))*AU85</f>
        <v>-43.596815863120902</v>
      </c>
      <c r="AV93" s="7">
        <f>-(SUM($AJ91:AV91,$AJ88:AV88))*AV85</f>
        <v>-47.065601108064776</v>
      </c>
      <c r="AW93" s="7"/>
    </row>
    <row r="94" spans="1:49" s="21" customFormat="1" ht="15">
      <c r="A94" s="82"/>
      <c r="E94" s="21" t="s">
        <v>983</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1213.3197094325326</v>
      </c>
      <c r="AS94" s="461">
        <f t="shared" si="6"/>
        <v>1310.7919252396669</v>
      </c>
      <c r="AT94" s="461">
        <f t="shared" si="6"/>
        <v>1418.5774948976641</v>
      </c>
      <c r="AU94" s="461">
        <f t="shared" si="6"/>
        <v>1525.2648954437441</v>
      </c>
      <c r="AV94" s="461">
        <f t="shared" si="6"/>
        <v>1634.4508819457635</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989</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976</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InputSummary!AR267</f>
        <v>0.03</v>
      </c>
      <c r="AS98" s="132">
        <f>InputSummary!AS267</f>
        <v>0.03</v>
      </c>
      <c r="AT98" s="132">
        <f>InputSummary!AT267</f>
        <v>0.03</v>
      </c>
      <c r="AU98" s="132">
        <f>InputSummary!AU267</f>
        <v>0.03</v>
      </c>
      <c r="AV98" s="132">
        <f>InputSummary!AV267</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978</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8.1138835225825918</v>
      </c>
      <c r="AT100" s="7">
        <f>InputSummary!AT276 + AS104</f>
        <v>18.534162220528795</v>
      </c>
      <c r="AU100" s="7">
        <f>InputSummary!AU276 + AT104</f>
        <v>29.713222620761428</v>
      </c>
      <c r="AV100" s="7">
        <f>InputSummary!AV276 + AU104</f>
        <v>40.717531213393926</v>
      </c>
      <c r="AW100" s="7"/>
    </row>
    <row r="101" spans="1:49" s="21" customFormat="1" ht="15">
      <c r="A101" s="82"/>
      <c r="E101" s="21" t="s">
        <v>980</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8.1138835225825918</v>
      </c>
      <c r="AS101" s="7">
        <f>AS$49 * AS$15</f>
        <v>10.663695203623679</v>
      </c>
      <c r="AT101" s="7">
        <f>AT$49 * AT$15</f>
        <v>11.742387762018822</v>
      </c>
      <c r="AU101" s="7">
        <f>AU$49 * AU$15</f>
        <v>11.919907587279248</v>
      </c>
      <c r="AV101" s="7">
        <f>AV$49 * AV$15</f>
        <v>12.39321419893195</v>
      </c>
      <c r="AW101" s="7"/>
    </row>
    <row r="102" spans="1:49" s="21" customFormat="1" ht="15">
      <c r="A102" s="82"/>
      <c r="E102" s="21" t="s">
        <v>981</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8.1138835225825918</v>
      </c>
      <c r="AS102" s="431">
        <f>SUM(AS100:AS101)</f>
        <v>18.777578726206272</v>
      </c>
      <c r="AT102" s="431">
        <f>SUM(AT100:AT101)</f>
        <v>30.276549982547618</v>
      </c>
      <c r="AU102" s="431">
        <f>SUM(AU100:AU101)</f>
        <v>41.633130208040676</v>
      </c>
      <c r="AV102" s="431">
        <f>SUM(AV100:AV101)</f>
        <v>53.110745412325876</v>
      </c>
      <c r="AW102" s="7"/>
    </row>
    <row r="103" spans="1:49" s="21" customFormat="1" ht="15">
      <c r="A103" s="82"/>
      <c r="E103" s="21" t="s">
        <v>990</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-0.24341650567747775</v>
      </c>
      <c r="AT103" s="7">
        <f>-(SUM($AI101:AS101))*AT98</f>
        <v>-0.56332736178618814</v>
      </c>
      <c r="AU103" s="7">
        <f>-(SUM($AI101:AT101))*AU98</f>
        <v>-0.91559899464675276</v>
      </c>
      <c r="AV103" s="7">
        <f>-(SUM($AI101:AU101))*AV98</f>
        <v>-1.2731962222651303</v>
      </c>
      <c r="AW103" s="7"/>
    </row>
    <row r="104" spans="1:49" s="21" customFormat="1" ht="15">
      <c r="A104" s="82"/>
      <c r="E104" s="21" t="s">
        <v>983</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8.1138835225825918</v>
      </c>
      <c r="AS104" s="461">
        <f t="shared" si="7"/>
        <v>18.534162220528795</v>
      </c>
      <c r="AT104" s="461">
        <f t="shared" si="7"/>
        <v>29.713222620761428</v>
      </c>
      <c r="AU104" s="461">
        <f t="shared" si="7"/>
        <v>40.717531213393926</v>
      </c>
      <c r="AV104" s="461">
        <f t="shared" si="7"/>
        <v>51.837549190060749</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991</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975</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19.932671277445671</v>
      </c>
      <c r="AS108" s="7">
        <f>- AS67</f>
        <v>25.672425927868662</v>
      </c>
      <c r="AT108" s="7">
        <f>- AT67</f>
        <v>31.322567367665606</v>
      </c>
      <c r="AU108" s="7">
        <f>- AU67</f>
        <v>36.110961625570596</v>
      </c>
      <c r="AV108" s="7">
        <f>- AV67</f>
        <v>40.451450705819241</v>
      </c>
      <c r="AW108" s="7"/>
    </row>
    <row r="109" spans="1:49" s="21" customFormat="1" ht="15">
      <c r="A109" s="82"/>
      <c r="E109" s="21" t="s">
        <v>984</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43.750629881353483</v>
      </c>
      <c r="AS109" s="7">
        <f>-AS80</f>
        <v>49.08456994235101</v>
      </c>
      <c r="AT109" s="7">
        <f>-AT80</f>
        <v>54.903568833514697</v>
      </c>
      <c r="AU109" s="7">
        <f>-AU80</f>
        <v>60.505921859249071</v>
      </c>
      <c r="AV109" s="7">
        <f>-AV80</f>
        <v>66.125391815970417</v>
      </c>
      <c r="AW109" s="7"/>
    </row>
    <row r="110" spans="1:49" s="21" customFormat="1" ht="15">
      <c r="A110" s="82"/>
      <c r="E110" s="21" t="s">
        <v>992</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33.989179971673231</v>
      </c>
      <c r="AS110" s="7">
        <f>-AS93</f>
        <v>36.973883373482934</v>
      </c>
      <c r="AT110" s="7">
        <f>-AT93</f>
        <v>40.260506258836649</v>
      </c>
      <c r="AU110" s="7">
        <f>-AU93</f>
        <v>43.596815863120902</v>
      </c>
      <c r="AV110" s="7">
        <f>-AV93</f>
        <v>47.065601108064776</v>
      </c>
      <c r="AW110" s="7"/>
    </row>
    <row r="111" spans="1:49" s="21" customFormat="1" ht="15">
      <c r="A111" s="82"/>
      <c r="E111" s="21" t="s">
        <v>989</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0.24341650567747775</v>
      </c>
      <c r="AT111" s="7">
        <f t="shared" si="8"/>
        <v>0.56332736178618814</v>
      </c>
      <c r="AU111" s="7">
        <f t="shared" si="8"/>
        <v>0.91559899464675276</v>
      </c>
      <c r="AV111" s="7">
        <f t="shared" si="8"/>
        <v>1.2731962222651303</v>
      </c>
      <c r="AW111" s="7"/>
    </row>
    <row r="112" spans="1:49" s="21" customFormat="1" ht="15">
      <c r="E112" s="21" t="s">
        <v>972</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97.672481130472391</v>
      </c>
      <c r="AS112" s="526">
        <f t="shared" si="9"/>
        <v>111.97429574938008</v>
      </c>
      <c r="AT112" s="526">
        <f t="shared" si="9"/>
        <v>127.04996982180315</v>
      </c>
      <c r="AU112" s="526">
        <f t="shared" si="9"/>
        <v>141.12929834258733</v>
      </c>
      <c r="AV112" s="526">
        <f t="shared" si="9"/>
        <v>154.91563985211957</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399" priority="1" operator="equal">
      <formula>FALSE()</formula>
    </cfRule>
  </conditionalFormatting>
  <conditionalFormatting sqref="AM2">
    <cfRule type="expression" dxfId="398" priority="2">
      <formula>mac_sensitivity=2</formula>
    </cfRule>
    <cfRule type="expression" dxfId="397" priority="3">
      <formula>mac_sensitivity=1</formula>
    </cfRule>
  </conditionalFormatting>
  <conditionalFormatting sqref="AM3">
    <cfRule type="expression" dxfId="396"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242" activePane="bottomRight" state="frozen"/>
      <selection pane="topRight" activeCell="K1" sqref="K1"/>
      <selection pane="bottomLeft" activeCell="A5" sqref="A5"/>
      <selection pane="bottomRight" activeCell="AR264" sqref="AR264"/>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993</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994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995</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996</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950</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951</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1.3966351746111914</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997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998</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999</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1000</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1001</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1002</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-1519.1241323338131</v>
      </c>
      <c r="AT25" s="7">
        <f t="shared" si="0"/>
        <v>-1661.6583735391398</v>
      </c>
      <c r="AU25" s="7">
        <f t="shared" si="0"/>
        <v>-1836.5751499491714</v>
      </c>
      <c r="AV25" s="7">
        <f t="shared" ref="AV25" si="1">AU41</f>
        <v>-2025.4716108581863</v>
      </c>
      <c r="AW25" s="7"/>
    </row>
    <row r="26" spans="1:49" ht="15">
      <c r="A26" s="7"/>
      <c r="B26" s="7"/>
      <c r="C26" s="7"/>
      <c r="D26" s="7"/>
      <c r="E26" s="7" t="s">
        <v>1003</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-1421.0180443612473</v>
      </c>
      <c r="AS26" s="431">
        <f>-AS55 * AS63 * AS12</f>
        <v>0</v>
      </c>
      <c r="AT26" s="431">
        <f>-AT55 * AT63 * AT12</f>
        <v>0</v>
      </c>
      <c r="AU26" s="431">
        <f>-AU55 * AU63 * AU12</f>
        <v>0</v>
      </c>
      <c r="AV26" s="431">
        <f>-AV55 * AV63 * AV12</f>
        <v>0</v>
      </c>
      <c r="AW26" s="7"/>
    </row>
    <row r="27" spans="1:49" ht="15">
      <c r="A27" s="7"/>
      <c r="B27" s="7"/>
      <c r="C27" s="7"/>
      <c r="D27" s="7"/>
      <c r="E27" s="7" t="s">
        <v>1004</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1005</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-1421.0180443612473</v>
      </c>
      <c r="AS28" s="7">
        <f>AS26 * AS12 + AS25 * (1 - AS12) + AS27</f>
        <v>-1519.1241323338131</v>
      </c>
      <c r="AT28" s="7">
        <f>AT26 * AT12 + AT25 * (1 - AT12) + AT27</f>
        <v>-1661.6583735391398</v>
      </c>
      <c r="AU28" s="7">
        <f>AU26 * AU12 + AU25 * (1 - AU12) + AU27</f>
        <v>-1836.5751499491714</v>
      </c>
      <c r="AV28" s="7">
        <f>AV26 * AV12 + AV25 * (1 - AV12) + AV27</f>
        <v>-2025.4716108581863</v>
      </c>
      <c r="AW28" s="7"/>
    </row>
    <row r="29" spans="1:49" ht="15">
      <c r="A29" s="7"/>
      <c r="B29" s="7"/>
      <c r="C29" s="7"/>
      <c r="D29" s="7"/>
      <c r="E29" s="7" t="s">
        <v>1006</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522.23037981742857</v>
      </c>
      <c r="AS29" s="8">
        <f>Revenue!AS19* AS$17</f>
        <v>531.6805386376019</v>
      </c>
      <c r="AT29" s="8">
        <f>Revenue!AT19* AT$17</f>
        <v>555.3086784932085</v>
      </c>
      <c r="AU29" s="8">
        <f>Revenue!AU19* AU$17</f>
        <v>563.31069184357875</v>
      </c>
      <c r="AV29" s="8">
        <f>Revenue!AV19* AV$17</f>
        <v>588.23588834036741</v>
      </c>
      <c r="AW29" s="7"/>
    </row>
    <row r="30" spans="1:49" ht="15">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0.17231280983164587</v>
      </c>
      <c r="AS30" s="8">
        <f>InputSummary!AS150 * AS$17</f>
        <v>0.21115359437132727</v>
      </c>
      <c r="AT30" s="8">
        <f>InputSummary!AT150 * AT$17</f>
        <v>0.23043632985828613</v>
      </c>
      <c r="AU30" s="8">
        <f>InputSummary!AU150 * AU$17</f>
        <v>0.23399002246627967</v>
      </c>
      <c r="AV30" s="8">
        <f>InputSummary!AV150 * AV$17</f>
        <v>0.22199376283702399</v>
      </c>
      <c r="AW30" s="7"/>
    </row>
    <row r="31" spans="1:49" ht="15">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-412.21062818240046</v>
      </c>
      <c r="AS31" s="8">
        <f>-Totex!AS82 * AS$17</f>
        <v>-497.34132676556698</v>
      </c>
      <c r="AT31" s="8">
        <f>-Totex!AT82 * AT$17</f>
        <v>-538.32750421302001</v>
      </c>
      <c r="AU31" s="8">
        <f>-Totex!AU82 * AU$17</f>
        <v>-547.34962484609514</v>
      </c>
      <c r="AV31" s="8">
        <f>-Totex!AV82 * AV$17</f>
        <v>-570.63364184013165</v>
      </c>
      <c r="AW31" s="7"/>
    </row>
    <row r="32" spans="1:49" ht="15">
      <c r="A32" s="2"/>
      <c r="B32" s="2"/>
      <c r="C32" s="2"/>
      <c r="D32" s="2"/>
      <c r="E32" s="21" t="s">
        <v>1007</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-78.729847550624939</v>
      </c>
      <c r="AS32" s="8">
        <f>-InputSummary!AS97 * AS$17</f>
        <v>-54.606430079399402</v>
      </c>
      <c r="AT32" s="8">
        <f>-InputSummary!AT97 * AT$17</f>
        <v>-63.022006590583061</v>
      </c>
      <c r="AU32" s="8">
        <f>-InputSummary!AU97 * AU$17</f>
        <v>-64.478933982597098</v>
      </c>
      <c r="AV32" s="8">
        <f>-InputSummary!AV97 * AV$17</f>
        <v>-66.157112961781465</v>
      </c>
      <c r="AW32" s="7"/>
    </row>
    <row r="33" spans="1:49" ht="15">
      <c r="A33" s="2"/>
      <c r="B33" s="2"/>
      <c r="C33" s="2"/>
      <c r="D33" s="2"/>
      <c r="E33" s="21" t="s">
        <v>1008</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-2.4064142391552745</v>
      </c>
      <c r="AS33" s="8">
        <f>InputSummary!AS124 * AS$17</f>
        <v>-2.4797472111495336</v>
      </c>
      <c r="AT33" s="8">
        <f>InputSummary!AT124 * AT$17</f>
        <v>-2.5221552286571294</v>
      </c>
      <c r="AU33" s="8">
        <f>InputSummary!AU124 * AU$17</f>
        <v>-2.5610508507051071</v>
      </c>
      <c r="AV33" s="8">
        <f>InputSummary!AV124 * AV$17</f>
        <v>-2.6070520652356577</v>
      </c>
      <c r="AW33" s="7"/>
    </row>
    <row r="34" spans="1:49" ht="15">
      <c r="A34" s="2"/>
      <c r="B34" s="2"/>
      <c r="C34" s="2"/>
      <c r="D34" s="2"/>
      <c r="E34" s="7" t="s">
        <v>1009</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-32.002037553898973</v>
      </c>
      <c r="AS34" s="2">
        <f t="shared" si="3"/>
        <v>-34.76315209773874</v>
      </c>
      <c r="AT34" s="2">
        <f t="shared" si="3"/>
        <v>-37.549868763966614</v>
      </c>
      <c r="AU34" s="2">
        <f t="shared" si="3"/>
        <v>-40.371138851269244</v>
      </c>
      <c r="AV34" s="2">
        <f t="shared" ref="AV34" si="4">-AV194</f>
        <v>-43.545543759502202</v>
      </c>
      <c r="AW34" s="7"/>
    </row>
    <row r="35" spans="1:49" ht="15">
      <c r="A35" s="7"/>
      <c r="B35" s="7"/>
      <c r="C35" s="7"/>
      <c r="D35" s="7"/>
      <c r="E35" s="56" t="s">
        <v>1010</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-5.9209085181718697</v>
      </c>
      <c r="AS35" s="7">
        <f t="shared" si="5"/>
        <v>0</v>
      </c>
      <c r="AT35" s="7">
        <f t="shared" si="5"/>
        <v>0</v>
      </c>
      <c r="AU35" s="7">
        <f t="shared" si="5"/>
        <v>0</v>
      </c>
      <c r="AV35" s="7">
        <f t="shared" ref="AV35" si="6">-AV184</f>
        <v>0</v>
      </c>
      <c r="AW35" s="7"/>
    </row>
    <row r="36" spans="1:49" ht="15">
      <c r="A36" s="2"/>
      <c r="B36" s="2"/>
      <c r="C36" s="2"/>
      <c r="D36" s="2"/>
      <c r="E36" s="21" t="s">
        <v>1011</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-1429.8851877782388</v>
      </c>
      <c r="AS36" s="432">
        <f>SUM(AS28:AS35)</f>
        <v>-1576.4230962556946</v>
      </c>
      <c r="AT36" s="432">
        <f>SUM(AT28:AT35)</f>
        <v>-1747.5407935122996</v>
      </c>
      <c r="AU36" s="432">
        <f>SUM(AU28:AU35)</f>
        <v>-1927.791216613793</v>
      </c>
      <c r="AV36" s="432">
        <f>SUM(AV28:AV35)</f>
        <v>-2119.9570793816329</v>
      </c>
      <c r="AW36" s="7"/>
    </row>
    <row r="37" spans="1:49" ht="15">
      <c r="A37" s="2"/>
      <c r="B37" s="2"/>
      <c r="C37" s="2"/>
      <c r="D37" s="2"/>
      <c r="E37" s="7" t="s">
        <v>1012</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-66.924036079172851</v>
      </c>
      <c r="AS37" s="2">
        <f t="shared" ref="AS37:AU37" si="7">AS169</f>
        <v>-73.390790965214791</v>
      </c>
      <c r="AT37" s="2">
        <f t="shared" si="7"/>
        <v>-81.688838262648474</v>
      </c>
      <c r="AU37" s="2">
        <f t="shared" si="7"/>
        <v>-90.365336467409307</v>
      </c>
      <c r="AV37" s="2">
        <f t="shared" ref="AV37" si="8">AV169</f>
        <v>-99.978182905192739</v>
      </c>
      <c r="AW37" s="7"/>
    </row>
    <row r="38" spans="1:49" ht="15">
      <c r="A38" s="2"/>
      <c r="B38" s="2"/>
      <c r="C38" s="2"/>
      <c r="D38" s="2"/>
      <c r="E38" s="7" t="s">
        <v>1013</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-22.271830273943632</v>
      </c>
      <c r="AS38" s="2">
        <f t="shared" si="9"/>
        <v>-11.79169791963742</v>
      </c>
      <c r="AT38" s="2">
        <f t="shared" si="9"/>
        <v>-7.2879090917586549</v>
      </c>
      <c r="AU38" s="2">
        <f t="shared" si="9"/>
        <v>-7.2565602713670057</v>
      </c>
      <c r="AV38" s="2">
        <f t="shared" ref="AV38" si="10">AV170</f>
        <v>-9.3074467092445321</v>
      </c>
      <c r="AW38" s="7"/>
    </row>
    <row r="39" spans="1:49" ht="15">
      <c r="A39" s="94"/>
      <c r="B39" s="94"/>
      <c r="C39" s="94"/>
      <c r="D39" s="94"/>
      <c r="E39" s="7" t="s">
        <v>1014</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32.642811703227594</v>
      </c>
      <c r="AS39" s="7">
        <f t="shared" si="11"/>
        <v>38.810348365006327</v>
      </c>
      <c r="AT39" s="7">
        <f t="shared" si="11"/>
        <v>35.255746900962194</v>
      </c>
      <c r="AU39" s="7">
        <f t="shared" si="11"/>
        <v>28.708612853547596</v>
      </c>
      <c r="AV39" s="7">
        <f t="shared" ref="AV39" si="12">AV239</f>
        <v>25.17364535270594</v>
      </c>
      <c r="AW39" s="7"/>
    </row>
    <row r="40" spans="1:49" ht="15">
      <c r="A40" s="2"/>
      <c r="B40" s="2"/>
      <c r="C40" s="2"/>
      <c r="D40" s="2"/>
      <c r="E40" s="7" t="s">
        <v>1015</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-32.685889905685507</v>
      </c>
      <c r="AS40" s="2">
        <f t="shared" si="13"/>
        <v>-38.863136763599172</v>
      </c>
      <c r="AT40" s="2">
        <f t="shared" si="13"/>
        <v>-35.313355983426774</v>
      </c>
      <c r="AU40" s="2">
        <f t="shared" si="13"/>
        <v>-28.767110359164164</v>
      </c>
      <c r="AV40" s="2">
        <f t="shared" ref="AV40" si="14">-AV274</f>
        <v>-25.229143793415197</v>
      </c>
      <c r="AW40" s="7"/>
    </row>
    <row r="41" spans="1:49" ht="15">
      <c r="A41" s="7"/>
      <c r="B41" s="7"/>
      <c r="C41" s="7"/>
      <c r="D41" s="7"/>
      <c r="E41" s="56" t="s">
        <v>1016</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-1519.1241323338131</v>
      </c>
      <c r="AS41" s="431">
        <f t="shared" ref="AS41:AU41" si="15">SUM(AS36:AS40)</f>
        <v>-1661.6583735391398</v>
      </c>
      <c r="AT41" s="431">
        <f t="shared" si="15"/>
        <v>-1836.5751499491714</v>
      </c>
      <c r="AU41" s="431">
        <f t="shared" si="15"/>
        <v>-2025.4716108581863</v>
      </c>
      <c r="AV41" s="431">
        <f t="shared" ref="AV41" si="16">SUM(AV36:AV40)</f>
        <v>-2229.2982074367792</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1017</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1018</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-1421.0180443612473</v>
      </c>
      <c r="AS45" s="7">
        <f>AS12 * AS26 + AS13 * AS25</f>
        <v>-1519.1241323338131</v>
      </c>
      <c r="AT45" s="7">
        <f>AT12 * AT26 + AT13 * AT25</f>
        <v>-1661.6583735391398</v>
      </c>
      <c r="AU45" s="7">
        <f>AU12 * AU26 + AU13 * AU25</f>
        <v>-1836.5751499491714</v>
      </c>
      <c r="AV45" s="7">
        <f>AV12 * AV26 + AV13 * AV25</f>
        <v>-2025.4716108581863</v>
      </c>
      <c r="AW45" s="7"/>
    </row>
    <row r="46" spans="1:49" ht="15">
      <c r="A46" s="7"/>
      <c r="B46" s="7"/>
      <c r="C46" s="7"/>
      <c r="D46" s="7"/>
      <c r="E46" s="7" t="s">
        <v>1019</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-1421.0180443612473</v>
      </c>
      <c r="AS46" s="7">
        <f>AS28</f>
        <v>-1519.1241323338131</v>
      </c>
      <c r="AT46" s="7">
        <f>AT28</f>
        <v>-1661.6583735391398</v>
      </c>
      <c r="AU46" s="7">
        <f>AU28</f>
        <v>-1836.5751499491714</v>
      </c>
      <c r="AV46" s="7">
        <f>AV28</f>
        <v>-2025.4716108581863</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1020</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1021</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1022</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1018</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-1421.0180443612473</v>
      </c>
      <c r="AS53" s="7">
        <f>AS45</f>
        <v>-1519.1241323338131</v>
      </c>
      <c r="AT53" s="7">
        <f t="shared" ref="AT53:AV53" si="17">AT45</f>
        <v>-1661.6583735391398</v>
      </c>
      <c r="AU53" s="7">
        <f>AU45</f>
        <v>-1836.5751499491714</v>
      </c>
      <c r="AV53" s="7">
        <f t="shared" si="17"/>
        <v>-2025.4716108581863</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1023</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2368.3634072687455</v>
      </c>
      <c r="AS55" s="7">
        <f>'Return&amp;RAV'!AS20 * AR$17</f>
        <v>2666.8364628249142</v>
      </c>
      <c r="AT55" s="7">
        <f>'Return&amp;RAV'!AT20 * AS$17</f>
        <v>2896.9293414782283</v>
      </c>
      <c r="AU55" s="7">
        <f>'Return&amp;RAV'!AU20 * AT$17</f>
        <v>3129.1557303305513</v>
      </c>
      <c r="AV55" s="7">
        <f>'Return&amp;RAV'!AV20 * AU$17</f>
        <v>3364.2615709391034</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1024</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0.56963527891944388</v>
      </c>
      <c r="AT57" s="126">
        <f t="shared" si="18"/>
        <v>0.57359299370803374</v>
      </c>
      <c r="AU57" s="126">
        <f t="shared" si="18"/>
        <v>0.58692353728114488</v>
      </c>
      <c r="AV57" s="126">
        <f t="shared" si="18"/>
        <v>0.60205533016649304</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1026</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1027</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1028</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1029</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1030</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1031</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2368.3634072687455</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1032</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-118.41817036343738</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1033</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1034</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1031</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2368.3634072687455</v>
      </c>
      <c r="AS76" s="7">
        <f t="shared" ref="AS76:AV76" si="23">AS55</f>
        <v>2666.8364628249142</v>
      </c>
      <c r="AT76" s="7">
        <f t="shared" si="23"/>
        <v>2896.9293414782283</v>
      </c>
      <c r="AU76" s="7">
        <f t="shared" si="23"/>
        <v>3129.1557303305513</v>
      </c>
      <c r="AV76" s="7">
        <f t="shared" si="23"/>
        <v>3364.2615709391034</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1024</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0.56963527891944388</v>
      </c>
      <c r="AT78" s="103">
        <f>AT57 * AT13</f>
        <v>0.57359299370803374</v>
      </c>
      <c r="AU78" s="103">
        <f>AU57 * AU13</f>
        <v>0.58692353728114488</v>
      </c>
      <c r="AV78" s="103">
        <f>AV57 * AV13</f>
        <v>0.60205533016649304</v>
      </c>
      <c r="AW78" s="193"/>
    </row>
    <row r="79" spans="1:49" ht="15">
      <c r="A79" s="7"/>
      <c r="B79" s="7"/>
      <c r="C79" s="7"/>
      <c r="D79" s="7"/>
      <c r="E79" s="7" t="s">
        <v>1035</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1036</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-3.0364721080556101E-2</v>
      </c>
      <c r="AT80" s="459">
        <f t="shared" ref="AT80:AV80" si="25">AT78 + AT79</f>
        <v>-2.640700629196624E-2</v>
      </c>
      <c r="AU80" s="459">
        <f t="shared" si="25"/>
        <v>-1.3076462718855097E-2</v>
      </c>
      <c r="AV80" s="459">
        <f t="shared" si="25"/>
        <v>2.0553301664930634E-3</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1037</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1038</v>
      </c>
      <c r="F84" s="7"/>
      <c r="G84" s="21" t="s">
        <v>868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1033</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1039</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1040</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1041</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1019</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-1421.0180443612473</v>
      </c>
      <c r="AS92" s="7">
        <f t="shared" ref="AS92:AV92" si="28">AS46</f>
        <v>-1519.1241323338131</v>
      </c>
      <c r="AT92" s="7">
        <f t="shared" si="28"/>
        <v>-1661.6583735391398</v>
      </c>
      <c r="AU92" s="7">
        <f t="shared" si="28"/>
        <v>-1836.5751499491714</v>
      </c>
      <c r="AV92" s="7">
        <f t="shared" si="28"/>
        <v>-2025.4716108581863</v>
      </c>
      <c r="AW92" s="7"/>
    </row>
    <row r="93" spans="1:49" ht="15">
      <c r="A93" s="7"/>
      <c r="B93" s="7"/>
      <c r="C93" s="7"/>
      <c r="D93" s="7"/>
      <c r="E93" s="56" t="s">
        <v>1031</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2368.3634072687455</v>
      </c>
      <c r="AS93" s="7">
        <f t="shared" si="29"/>
        <v>2666.8364628249142</v>
      </c>
      <c r="AT93" s="7">
        <f t="shared" si="29"/>
        <v>2896.9293414782283</v>
      </c>
      <c r="AU93" s="7">
        <f t="shared" si="29"/>
        <v>3129.1557303305513</v>
      </c>
      <c r="AV93" s="7">
        <f>AV55</f>
        <v>3364.2615709391034</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1042</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0.56963527891944388</v>
      </c>
      <c r="AT95" s="460">
        <f t="shared" si="30"/>
        <v>0.57359299370803374</v>
      </c>
      <c r="AU95" s="460">
        <f t="shared" si="30"/>
        <v>0.58692353728114488</v>
      </c>
      <c r="AV95" s="460">
        <f>-AV92 / AV93</f>
        <v>0.60205533016649304</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1043</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1044</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1045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1046</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1047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1048</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5">
      <c r="A106" s="7"/>
      <c r="B106" s="7"/>
      <c r="C106" s="7"/>
      <c r="D106" s="7"/>
      <c r="E106" s="7" t="s">
        <v>1049</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1050</v>
      </c>
      <c r="F108" s="7"/>
      <c r="G108" s="7" t="s">
        <v>1051</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1052</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1053</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1054</v>
      </c>
      <c r="F113" s="7"/>
      <c r="G113" s="7" t="s">
        <v>1055</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2.2277669902912578E-2</v>
      </c>
      <c r="AU113" s="193">
        <f t="shared" si="31"/>
        <v>2.237669902912609E-2</v>
      </c>
      <c r="AV113" s="193">
        <f t="shared" si="31"/>
        <v>2.2574757281553337E-2</v>
      </c>
      <c r="AW113" s="2"/>
    </row>
    <row r="114" spans="1:49" ht="15">
      <c r="A114" s="7"/>
      <c r="B114" s="7"/>
      <c r="C114" s="7"/>
      <c r="D114" s="2"/>
      <c r="E114" s="7" t="s">
        <v>1056</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8.7530899065423995E-2</v>
      </c>
      <c r="AS114" s="49">
        <f>InputSummary!AS188</f>
        <v>4.3184769776843268E-2</v>
      </c>
      <c r="AT114" s="49">
        <f>InputSummary!AT188</f>
        <v>2.6233436648239294E-2</v>
      </c>
      <c r="AU114" s="49">
        <f>InputSummary!AU188</f>
        <v>2.6055468787939295E-2</v>
      </c>
      <c r="AV114" s="49">
        <f>InputSummary!AV188</f>
        <v>2.814630513484162E-2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1051</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5.135645842318648E-2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1057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1058</v>
      </c>
      <c r="F119" s="7"/>
      <c r="G119" s="7" t="s">
        <v>1059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3.2300000000000002E-2</v>
      </c>
      <c r="AU119" s="193">
        <f>AU105</f>
        <v>3.2399999999999998E-2</v>
      </c>
      <c r="AV119" s="193">
        <f>AV105</f>
        <v>3.2599999999999997E-2</v>
      </c>
      <c r="AW119" s="2"/>
    </row>
    <row r="120" spans="1:49" ht="15">
      <c r="A120" s="7"/>
      <c r="B120" s="7"/>
      <c r="C120" s="7"/>
      <c r="D120" s="7"/>
      <c r="E120" s="7" t="s">
        <v>1060</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6.2497611347487325E-2</v>
      </c>
      <c r="AS120" s="49">
        <f>InputSummary!AS189</f>
        <v>3.04739603020312E-2</v>
      </c>
      <c r="AT120" s="49">
        <f>InputSummary!AT189</f>
        <v>1.710175025781635E-2</v>
      </c>
      <c r="AU120" s="49">
        <f>InputSummary!AU189</f>
        <v>1.5421581354723601E-2</v>
      </c>
      <c r="AV120" s="49">
        <f>InputSummary!AV189</f>
        <v>1.7961851291584674E-2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1061</v>
      </c>
      <c r="F122" s="7"/>
      <c r="G122" s="7" t="s">
        <v>1051</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5.114740764369019E-2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1062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1063</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-1421.0180443612473</v>
      </c>
      <c r="AS126" s="7">
        <f>AS28</f>
        <v>-1519.1241323338131</v>
      </c>
      <c r="AT126" s="7">
        <f>AT28</f>
        <v>-1661.6583735391398</v>
      </c>
      <c r="AU126" s="7">
        <f>AU28</f>
        <v>-1836.5751499491714</v>
      </c>
      <c r="AV126" s="7">
        <f>AV28</f>
        <v>-2025.4716108581863</v>
      </c>
      <c r="AW126" s="7"/>
    </row>
    <row r="127" spans="1:49" ht="15">
      <c r="A127" s="7"/>
      <c r="B127" s="7"/>
      <c r="C127" s="7"/>
      <c r="D127" s="7"/>
      <c r="E127" s="56" t="s">
        <v>1064</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-1429.8851877782388</v>
      </c>
      <c r="AS127" s="105">
        <f>AS36</f>
        <v>-1576.4230962556946</v>
      </c>
      <c r="AT127" s="105">
        <f>AT36</f>
        <v>-1747.5407935122996</v>
      </c>
      <c r="AU127" s="105">
        <f>AU36</f>
        <v>-1927.791216613793</v>
      </c>
      <c r="AV127" s="105">
        <f>AV36</f>
        <v>-2119.9570793816329</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1062</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-1425.4516160697431</v>
      </c>
      <c r="AS129" s="461">
        <f t="shared" si="33"/>
        <v>-1547.7736142947538</v>
      </c>
      <c r="AT129" s="461">
        <f t="shared" si="33"/>
        <v>-1704.5995835257197</v>
      </c>
      <c r="AU129" s="461">
        <f t="shared" si="33"/>
        <v>-1882.1831832814823</v>
      </c>
      <c r="AV129" s="461">
        <f>AVERAGE(AV126:AV127)</f>
        <v>-2072.7143451199095</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1065</v>
      </c>
      <c r="F131" s="7"/>
      <c r="G131" s="7" t="s">
        <v>1051</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6.2573759324814848E-2</v>
      </c>
      <c r="AS131" s="185">
        <f>AS167/AS129</f>
        <v>5.503549621090148E-2</v>
      </c>
      <c r="AT131" s="185">
        <f>AT167/AT129</f>
        <v>5.2198034197785903E-2</v>
      </c>
      <c r="AU131" s="185">
        <f>AU167/AU129</f>
        <v>5.1866310147654138E-2</v>
      </c>
      <c r="AV131" s="185">
        <f>AV167/AV129</f>
        <v>5.2725851910922605E-2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1066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1047</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1067</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1068</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-1069.0887120523073</v>
      </c>
      <c r="AS137" s="7">
        <f t="shared" ref="AS137:AU137" si="34">AS$129 * AS136</f>
        <v>-1160.8302107210652</v>
      </c>
      <c r="AT137" s="7">
        <f t="shared" si="34"/>
        <v>-1278.4496876442897</v>
      </c>
      <c r="AU137" s="7">
        <f t="shared" si="34"/>
        <v>-1411.6373874611118</v>
      </c>
      <c r="AV137" s="7">
        <f>AV$129 * AV136</f>
        <v>-1554.535758839932</v>
      </c>
      <c r="AW137" s="7"/>
    </row>
    <row r="138" spans="1:49" ht="15">
      <c r="A138" s="7"/>
      <c r="B138" s="7"/>
      <c r="C138" s="7"/>
      <c r="D138" s="7"/>
      <c r="E138" s="7" t="s">
        <v>1050</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5.2945999999999938E-2</v>
      </c>
      <c r="AU138" s="193">
        <f t="shared" si="35"/>
        <v>5.3047999999999984E-2</v>
      </c>
      <c r="AV138" s="193">
        <f t="shared" si="35"/>
        <v>5.3252000000000077E-2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1069</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-55.186359316140098</v>
      </c>
      <c r="AS140" s="461">
        <f t="shared" si="36"/>
        <v>-60.750888247876347</v>
      </c>
      <c r="AT140" s="461">
        <f t="shared" si="36"/>
        <v>-67.688797162014481</v>
      </c>
      <c r="AU140" s="461">
        <f t="shared" si="36"/>
        <v>-74.884540130037038</v>
      </c>
      <c r="AV140" s="461">
        <f>AV137*AV138</f>
        <v>-82.782138229744177</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1052</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1070</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0.11035848939337956</v>
      </c>
      <c r="AS145" s="193">
        <f t="shared" si="38"/>
        <v>6.5804661668295683E-2</v>
      </c>
      <c r="AT145" s="193">
        <f t="shared" si="38"/>
        <v>4.9095526393220235E-2</v>
      </c>
      <c r="AU145" s="193">
        <f t="shared" si="38"/>
        <v>4.9015203200195812E-2</v>
      </c>
      <c r="AV145" s="193">
        <f t="shared" si="38"/>
        <v>5.135645842318648E-2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1071</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1072</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1057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1073</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-356.36290401743577</v>
      </c>
      <c r="AS153" s="7">
        <f t="shared" ref="AS153:AU153" si="40">AS$129 * AS152</f>
        <v>-386.94340357368844</v>
      </c>
      <c r="AT153" s="7">
        <f t="shared" si="40"/>
        <v>-426.14989588142993</v>
      </c>
      <c r="AU153" s="7">
        <f t="shared" si="40"/>
        <v>-470.54579582037059</v>
      </c>
      <c r="AV153" s="7">
        <f>AV$129 * AV152</f>
        <v>-518.17858627997737</v>
      </c>
      <c r="AW153" s="7"/>
    </row>
    <row r="154" spans="1:49" ht="15">
      <c r="A154" s="7"/>
      <c r="B154" s="7"/>
      <c r="C154" s="7"/>
      <c r="D154" s="7"/>
      <c r="E154" s="7" t="s">
        <v>1061</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9.5435037299259395E-2</v>
      </c>
      <c r="AS154" s="193">
        <f t="shared" si="41"/>
        <v>6.3139984843605612E-2</v>
      </c>
      <c r="AT154" s="193">
        <f t="shared" si="41"/>
        <v>4.9954136791143799E-2</v>
      </c>
      <c r="AU154" s="193">
        <f t="shared" si="41"/>
        <v>4.8321240590616599E-2</v>
      </c>
      <c r="AV154" s="193">
        <f>AV$122</f>
        <v>5.114740764369019E-2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1074</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-34.00950703697638</v>
      </c>
      <c r="AS156" s="461">
        <f t="shared" si="42"/>
        <v>-24.431600636975858</v>
      </c>
      <c r="AT156" s="461">
        <f t="shared" si="42"/>
        <v>-21.287950192392639</v>
      </c>
      <c r="AU156" s="461">
        <f t="shared" si="42"/>
        <v>-22.737356608739283</v>
      </c>
      <c r="AV156" s="461">
        <f>AV153*AV154</f>
        <v>-26.503491384693092</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1075</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-22.271830273943632</v>
      </c>
      <c r="AS158" s="461">
        <f>AS120 * AS153</f>
        <v>-11.79169791963742</v>
      </c>
      <c r="AT158" s="461">
        <f>AT120 * AT153</f>
        <v>-7.2879090917586549</v>
      </c>
      <c r="AU158" s="461">
        <f>AU120 * AU153</f>
        <v>-7.2565602713670057</v>
      </c>
      <c r="AV158" s="461">
        <f>AV120 * AV153</f>
        <v>-9.3074467092445321</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1076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1077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1078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1079</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-22.271830273943632</v>
      </c>
      <c r="AS164" s="7">
        <f>AS158 + AS149</f>
        <v>-11.79169791963742</v>
      </c>
      <c r="AT164" s="7">
        <f>AT158 + AT149</f>
        <v>-7.2879090917586549</v>
      </c>
      <c r="AU164" s="7">
        <f>AU158 + AU149</f>
        <v>-7.2565602713670057</v>
      </c>
      <c r="AV164" s="7">
        <f>AV158 + AV149</f>
        <v>-9.3074467092445321</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1080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1066</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-89.195866353116486</v>
      </c>
      <c r="AS167" s="7">
        <f>AS140 + AS156 + AS147</f>
        <v>-85.182488884852205</v>
      </c>
      <c r="AT167" s="7">
        <f>AT140 + AT156 + AT147</f>
        <v>-88.976747354407124</v>
      </c>
      <c r="AU167" s="7">
        <f>AU140 + AU156 + AU147</f>
        <v>-97.621896738776314</v>
      </c>
      <c r="AV167" s="7">
        <f>AV140 + AV156 + AV147</f>
        <v>-109.28562961443727</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1081</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-66.924036079172851</v>
      </c>
      <c r="AS169" s="461">
        <f t="shared" si="43"/>
        <v>-73.390790965214791</v>
      </c>
      <c r="AT169" s="461">
        <f t="shared" si="43"/>
        <v>-81.688838262648474</v>
      </c>
      <c r="AU169" s="461">
        <f t="shared" si="43"/>
        <v>-90.365336467409307</v>
      </c>
      <c r="AV169" s="461">
        <f t="shared" si="43"/>
        <v>-99.978182905192739</v>
      </c>
      <c r="AW169" s="7"/>
    </row>
    <row r="170" spans="1:49" ht="15">
      <c r="A170" s="7"/>
      <c r="B170" s="7"/>
      <c r="C170" s="7"/>
      <c r="D170" s="7"/>
      <c r="E170" s="56" t="s">
        <v>1079</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-22.271830273943632</v>
      </c>
      <c r="AS170" s="461">
        <f t="shared" ref="AS170:AV170" si="44">AS164</f>
        <v>-11.79169791963742</v>
      </c>
      <c r="AT170" s="461">
        <f t="shared" si="44"/>
        <v>-7.2879090917586549</v>
      </c>
      <c r="AU170" s="461">
        <f t="shared" si="44"/>
        <v>-7.2565602713670057</v>
      </c>
      <c r="AV170" s="461">
        <f t="shared" si="44"/>
        <v>-9.3074467092445321</v>
      </c>
      <c r="AW170" s="7"/>
    </row>
    <row r="171" spans="1:49" ht="15">
      <c r="A171" s="7"/>
      <c r="B171" s="7"/>
      <c r="C171" s="7"/>
      <c r="D171" s="7"/>
      <c r="E171" s="56" t="s">
        <v>1082</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0.24969576713086614</v>
      </c>
      <c r="AS171" s="26">
        <f t="shared" si="45"/>
        <v>0.13842866150080652</v>
      </c>
      <c r="AT171" s="26">
        <f t="shared" si="45"/>
        <v>8.19080187628108E-2</v>
      </c>
      <c r="AU171" s="26">
        <f t="shared" si="45"/>
        <v>7.4333325962561772E-2</v>
      </c>
      <c r="AV171" s="26">
        <f t="shared" si="45"/>
        <v>8.5166245023078166E-2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1083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1084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1085</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1030</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-118.41817036343738</v>
      </c>
      <c r="AS178" s="7">
        <f>AS71</f>
        <v>0</v>
      </c>
      <c r="AT178" s="7">
        <f>AT71</f>
        <v>0</v>
      </c>
      <c r="AU178" s="7">
        <f>AU71</f>
        <v>0</v>
      </c>
      <c r="AV178" s="7">
        <f>AV71</f>
        <v>0</v>
      </c>
      <c r="AW178" s="89"/>
    </row>
    <row r="179" spans="1:49" ht="15">
      <c r="A179" s="7"/>
      <c r="B179" s="7"/>
      <c r="C179" s="7"/>
      <c r="D179" s="7"/>
      <c r="E179" s="7" t="s">
        <v>1086</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1087</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118.41817036343738</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1088</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5.9209085181718697</v>
      </c>
      <c r="AS184" s="538">
        <f t="shared" si="47"/>
        <v>0</v>
      </c>
      <c r="AT184" s="538">
        <f t="shared" si="47"/>
        <v>0</v>
      </c>
      <c r="AU184" s="538">
        <f t="shared" si="47"/>
        <v>0</v>
      </c>
      <c r="AV184" s="538">
        <f>AV180 * AV182</f>
        <v>0</v>
      </c>
      <c r="AW184" s="7"/>
    </row>
    <row r="185" spans="1:49" ht="15">
      <c r="A185" s="129"/>
      <c r="B185" s="129"/>
      <c r="C185" s="77"/>
      <c r="D185" s="77"/>
      <c r="E185" s="134" t="s">
        <v>1089</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4.5928756912183246</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1090</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1091</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1092</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2666.8364628249142</v>
      </c>
      <c r="AS190" s="8">
        <f>'Return&amp;RAV'!AS46 * AS$17</f>
        <v>2896.9293414782283</v>
      </c>
      <c r="AT190" s="8">
        <f>'Return&amp;RAV'!AT46 * AT$17</f>
        <v>3129.1557303305513</v>
      </c>
      <c r="AU190" s="8">
        <f>'Return&amp;RAV'!AU46 * AU$17</f>
        <v>3364.2615709391034</v>
      </c>
      <c r="AV190" s="8">
        <f>'Return&amp;RAV'!AV46 * AV$17</f>
        <v>3628.7953132918506</v>
      </c>
      <c r="AW190" s="7"/>
    </row>
    <row r="191" spans="1:49" ht="15">
      <c r="A191" s="7"/>
      <c r="B191" s="7"/>
      <c r="C191" s="7"/>
      <c r="D191" s="7"/>
      <c r="E191" s="7" t="s">
        <v>1093</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1094</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1095</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32.002037553898973</v>
      </c>
      <c r="AS194" s="461">
        <f t="shared" si="49"/>
        <v>34.76315209773874</v>
      </c>
      <c r="AT194" s="461">
        <f t="shared" si="49"/>
        <v>37.549868763966614</v>
      </c>
      <c r="AU194" s="461">
        <f t="shared" si="49"/>
        <v>40.371138851269244</v>
      </c>
      <c r="AV194" s="461">
        <f>AV190 * AV191 * AV192</f>
        <v>43.545543759502202</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1096</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1097</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1098</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522.23037981742857</v>
      </c>
      <c r="AS201" s="8">
        <f>Revenue!AS19 * AS$17</f>
        <v>531.6805386376019</v>
      </c>
      <c r="AT201" s="8">
        <f>Revenue!AT19 * AT$17</f>
        <v>555.3086784932085</v>
      </c>
      <c r="AU201" s="8">
        <f>Revenue!AU19 * AU$17</f>
        <v>563.31069184357875</v>
      </c>
      <c r="AV201" s="8">
        <f>Revenue!AV19 * AV$17</f>
        <v>588.23588834036741</v>
      </c>
      <c r="AW201" s="48"/>
    </row>
    <row r="202" spans="1:49" ht="15">
      <c r="A202" s="21"/>
      <c r="B202" s="21"/>
      <c r="C202" s="21"/>
      <c r="D202" s="21"/>
      <c r="E202" s="21" t="s">
        <v>1099</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1012</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-66.924036079172851</v>
      </c>
      <c r="AS203" s="7">
        <f t="shared" ref="AS203:AV203" si="50">AS169</f>
        <v>-73.390790965214791</v>
      </c>
      <c r="AT203" s="7">
        <f>AT169</f>
        <v>-81.688838262648474</v>
      </c>
      <c r="AU203" s="7">
        <f t="shared" si="50"/>
        <v>-90.365336467409307</v>
      </c>
      <c r="AV203" s="7">
        <f t="shared" si="50"/>
        <v>-99.978182905192739</v>
      </c>
      <c r="AW203" s="48"/>
    </row>
    <row r="204" spans="1:49" ht="15">
      <c r="A204" s="21"/>
      <c r="B204" s="21"/>
      <c r="C204" s="21"/>
      <c r="D204" s="21"/>
      <c r="E204" s="7" t="s">
        <v>1013</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-22.271830273943632</v>
      </c>
      <c r="AS204" s="7">
        <f t="shared" si="51"/>
        <v>-11.79169791963742</v>
      </c>
      <c r="AT204" s="7">
        <f t="shared" si="51"/>
        <v>-7.2879090917586549</v>
      </c>
      <c r="AU204" s="7">
        <f t="shared" si="51"/>
        <v>-7.2565602713670057</v>
      </c>
      <c r="AV204" s="7">
        <f t="shared" si="51"/>
        <v>-9.3074467092445321</v>
      </c>
      <c r="AW204" s="48"/>
    </row>
    <row r="205" spans="1:49" ht="15">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-237.43359722415687</v>
      </c>
      <c r="AS205" s="8">
        <f>-TaxPools!AS50 * AS$17</f>
        <v>-218.09270890835057</v>
      </c>
      <c r="AT205" s="8">
        <f>-TaxPools!AT50 * AT$17</f>
        <v>-233.51472061411167</v>
      </c>
      <c r="AU205" s="8">
        <f>-TaxPools!AU50 * AU$17</f>
        <v>-238.43365820157234</v>
      </c>
      <c r="AV205" s="8">
        <f>-TaxPools!AV50 * AV$17</f>
        <v>-248.51368281569276</v>
      </c>
      <c r="AW205" s="48"/>
    </row>
    <row r="206" spans="1:49" ht="15.75">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-97.672481130472391</v>
      </c>
      <c r="AS206" s="8">
        <f>-TaxPools!AS112</f>
        <v>-111.97429574938008</v>
      </c>
      <c r="AT206" s="8">
        <f>-TaxPools!AT112</f>
        <v>-127.04996982180315</v>
      </c>
      <c r="AU206" s="8">
        <f>-TaxPools!AU112</f>
        <v>-141.12929834258733</v>
      </c>
      <c r="AV206" s="8">
        <f>-TaxPools!AV112</f>
        <v>-154.91563985211957</v>
      </c>
      <c r="AW206" s="48"/>
    </row>
    <row r="207" spans="1:49" ht="15">
      <c r="A207" s="21"/>
      <c r="B207" s="21"/>
      <c r="C207" s="21"/>
      <c r="D207" s="21"/>
      <c r="E207" s="21" t="s">
        <v>1100</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97.928435109682795</v>
      </c>
      <c r="AS207" s="431">
        <f>SUM(AS201:AS206)</f>
        <v>116.43104509501899</v>
      </c>
      <c r="AT207" s="431">
        <f>SUM(AT201:AT206)</f>
        <v>105.76724070288658</v>
      </c>
      <c r="AU207" s="431">
        <f>SUM(AU201:AU206)</f>
        <v>86.125838560642791</v>
      </c>
      <c r="AV207" s="431">
        <f>SUM(AV201:AV206)</f>
        <v>75.520936058117826</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1101</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1102</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InputSummary!AR278</f>
        <v>0</v>
      </c>
      <c r="AS213" s="79">
        <f>InputSummary!AS278</f>
        <v>0</v>
      </c>
      <c r="AT213" s="79">
        <f>InputSummary!AT278</f>
        <v>0</v>
      </c>
      <c r="AU213" s="79">
        <f>InputSummary!AU278</f>
        <v>0</v>
      </c>
      <c r="AV213" s="79">
        <f>InputSummary!AV278</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1103</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1104</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1105</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1106</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0</v>
      </c>
      <c r="AS218" s="7">
        <f t="shared" ref="AS218:AV218" si="52">AS299</f>
        <v>0</v>
      </c>
      <c r="AT218" s="7">
        <f t="shared" si="52"/>
        <v>0</v>
      </c>
      <c r="AU218" s="7">
        <f t="shared" si="52"/>
        <v>0</v>
      </c>
      <c r="AV218" s="7">
        <f t="shared" si="52"/>
        <v>0</v>
      </c>
      <c r="AW218" s="21"/>
    </row>
    <row r="219" spans="1:49" ht="15">
      <c r="A219" s="21"/>
      <c r="B219" s="21"/>
      <c r="C219" s="21"/>
      <c r="D219" s="21"/>
      <c r="E219" s="21" t="s">
        <v>1100</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0</v>
      </c>
      <c r="AS219" s="7">
        <f>IF(AS207 &gt;= 0, MIN(AS207, -(AS215 + AS217 + AS218)), 0)</f>
        <v>0</v>
      </c>
      <c r="AT219" s="7">
        <f>IF(AT207 &gt;= 0, MIN(AT207, -(AT215 + AT217 + AT218)), 0)</f>
        <v>0</v>
      </c>
      <c r="AU219" s="7">
        <f>IF(AU207 &gt;= 0, MIN(AU207, -(AU215 + AU217 + AU218)), 0)</f>
        <v>0</v>
      </c>
      <c r="AV219" s="7">
        <f>IF(AV207 &gt;= 0, MIN(AV207, -(AV215 + AV217 + AV218)), 0)</f>
        <v>0</v>
      </c>
      <c r="AW219" s="21"/>
    </row>
    <row r="220" spans="1:49" ht="15">
      <c r="A220" s="21"/>
      <c r="B220" s="21"/>
      <c r="C220" s="21"/>
      <c r="D220" s="21"/>
      <c r="E220" s="7" t="s">
        <v>1107</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1108</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1109</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1110</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97.928435109682795</v>
      </c>
      <c r="AS225" s="7">
        <f>MAX( AS207 - AS219, 0)</f>
        <v>116.43104509501899</v>
      </c>
      <c r="AT225" s="7">
        <f>MAX( AT207 - AT219, 0)</f>
        <v>105.76724070288658</v>
      </c>
      <c r="AU225" s="7">
        <f>MAX( AU207 - AU219, 0)</f>
        <v>86.125838560642791</v>
      </c>
      <c r="AV225" s="7">
        <f>MAX( AV207 - AV219, 0)</f>
        <v>75.520936058117826</v>
      </c>
      <c r="AW225" s="7"/>
    </row>
    <row r="226" spans="1:49" ht="15">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InputSummary!AR264</f>
        <v>0.25</v>
      </c>
      <c r="AS226" s="123">
        <f>InputSummary!AS264</f>
        <v>0.25</v>
      </c>
      <c r="AT226" s="123">
        <f>InputSummary!AT264</f>
        <v>0.25</v>
      </c>
      <c r="AU226" s="123">
        <f>InputSummary!AU264</f>
        <v>0.25</v>
      </c>
      <c r="AV226" s="123">
        <f>InputSummary!AV264</f>
        <v>0.25</v>
      </c>
      <c r="AW226" s="7"/>
    </row>
    <row r="227" spans="1:49" ht="15">
      <c r="A227" s="21"/>
      <c r="B227" s="21"/>
      <c r="C227" s="21"/>
      <c r="D227" s="21"/>
      <c r="E227" s="21" t="s">
        <v>1111</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24.482108777420699</v>
      </c>
      <c r="AS227" s="7">
        <f t="shared" si="54"/>
        <v>29.107761273754747</v>
      </c>
      <c r="AT227" s="7">
        <f t="shared" si="54"/>
        <v>26.441810175721645</v>
      </c>
      <c r="AU227" s="7">
        <f t="shared" si="54"/>
        <v>21.531459640160698</v>
      </c>
      <c r="AV227" s="7">
        <f t="shared" si="54"/>
        <v>18.880234014529456</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1112</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1108</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32.642811703227594</v>
      </c>
      <c r="AS231" s="538">
        <f t="shared" si="56"/>
        <v>38.810348365006327</v>
      </c>
      <c r="AT231" s="538">
        <f t="shared" si="56"/>
        <v>35.255746900962194</v>
      </c>
      <c r="AU231" s="538">
        <f t="shared" si="56"/>
        <v>28.708612853547596</v>
      </c>
      <c r="AV231" s="538">
        <f>AV227 * AV229</f>
        <v>25.17364535270594</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1108</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32.642811703227594</v>
      </c>
      <c r="AS235" s="7">
        <f t="shared" si="57"/>
        <v>38.810348365006327</v>
      </c>
      <c r="AT235" s="7">
        <f t="shared" si="57"/>
        <v>35.255746900962194</v>
      </c>
      <c r="AU235" s="7">
        <f t="shared" si="57"/>
        <v>28.708612853547596</v>
      </c>
      <c r="AV235" s="7">
        <f>AV231</f>
        <v>25.17364535270594</v>
      </c>
      <c r="AW235" s="2"/>
    </row>
    <row r="236" spans="1:49" ht="15">
      <c r="A236" s="208"/>
      <c r="B236" s="21"/>
      <c r="C236" s="21"/>
      <c r="D236" s="21"/>
      <c r="E236" s="7" t="s">
        <v>1113</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32.642811703227594</v>
      </c>
      <c r="AS237" s="526">
        <f t="shared" si="59"/>
        <v>38.810348365006327</v>
      </c>
      <c r="AT237" s="526">
        <f t="shared" si="59"/>
        <v>35.255746900962194</v>
      </c>
      <c r="AU237" s="526">
        <f t="shared" si="59"/>
        <v>28.708612853547596</v>
      </c>
      <c r="AV237" s="526">
        <f>AV235+AV236</f>
        <v>25.17364535270594</v>
      </c>
      <c r="AW237" s="21"/>
    </row>
    <row r="238" spans="1:49" ht="15">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21"/>
    </row>
    <row r="239" spans="1:49" ht="15">
      <c r="A239" s="21"/>
      <c r="B239" s="21"/>
      <c r="C239" s="21"/>
      <c r="D239" s="21"/>
      <c r="E239" s="2" t="s">
        <v>1114</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32.642811703227594</v>
      </c>
      <c r="AS239" s="431">
        <f t="shared" si="60"/>
        <v>38.810348365006327</v>
      </c>
      <c r="AT239" s="431">
        <f t="shared" si="60"/>
        <v>35.255746900962194</v>
      </c>
      <c r="AU239" s="431">
        <f t="shared" si="60"/>
        <v>28.708612853547596</v>
      </c>
      <c r="AV239" s="431">
        <f>SUM(AV237:AV238)</f>
        <v>25.17364535270594</v>
      </c>
      <c r="AW239" s="21"/>
    </row>
    <row r="240" spans="1:49" ht="15">
      <c r="A240" s="129"/>
      <c r="B240" s="129"/>
      <c r="C240" s="77"/>
      <c r="D240" s="77"/>
      <c r="E240" s="134" t="s">
        <v>1115</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25.321177637627386</v>
      </c>
      <c r="AS240" s="149">
        <f t="shared" si="61"/>
        <v>29.215065166459617</v>
      </c>
      <c r="AT240" s="149">
        <f t="shared" si="61"/>
        <v>26.093049396658113</v>
      </c>
      <c r="AU240" s="149">
        <f t="shared" si="61"/>
        <v>20.924772066224396</v>
      </c>
      <c r="AV240" s="149">
        <f t="shared" si="61"/>
        <v>18.024496167880077</v>
      </c>
      <c r="AW240" s="129"/>
    </row>
    <row r="241" spans="1:49" ht="15">
      <c r="A241" s="129"/>
      <c r="B241" s="129"/>
      <c r="C241" s="77"/>
      <c r="D241" s="77"/>
      <c r="E241" s="134" t="s">
        <v>1116</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1117</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1096</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1118</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522.23037981742857</v>
      </c>
      <c r="AS248" s="7">
        <f t="shared" si="63"/>
        <v>531.6805386376019</v>
      </c>
      <c r="AT248" s="7">
        <f t="shared" si="63"/>
        <v>555.3086784932085</v>
      </c>
      <c r="AU248" s="7">
        <f t="shared" si="63"/>
        <v>563.31069184357875</v>
      </c>
      <c r="AV248" s="7">
        <f t="shared" si="63"/>
        <v>588.23588834036741</v>
      </c>
      <c r="AW248" s="21"/>
    </row>
    <row r="249" spans="1:49" ht="15">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v>
      </c>
      <c r="AS249" s="7">
        <f t="shared" si="63"/>
        <v>0</v>
      </c>
      <c r="AT249" s="7">
        <f t="shared" si="63"/>
        <v>0</v>
      </c>
      <c r="AU249" s="7">
        <f t="shared" si="63"/>
        <v>0</v>
      </c>
      <c r="AV249" s="7">
        <f t="shared" si="63"/>
        <v>0</v>
      </c>
      <c r="AW249" s="21"/>
    </row>
    <row r="250" spans="1:49" ht="15">
      <c r="A250" s="7"/>
      <c r="B250" s="7"/>
      <c r="C250" s="21"/>
      <c r="D250" s="21"/>
      <c r="E250" s="21" t="s">
        <v>1014</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32.642811703227594</v>
      </c>
      <c r="AS250" s="7">
        <f t="shared" si="64"/>
        <v>38.810348365006327</v>
      </c>
      <c r="AT250" s="7">
        <f t="shared" si="64"/>
        <v>35.255746900962194</v>
      </c>
      <c r="AU250" s="7">
        <f t="shared" si="64"/>
        <v>28.708612853547596</v>
      </c>
      <c r="AV250" s="7">
        <f>AV239</f>
        <v>25.17364535270594</v>
      </c>
      <c r="AW250" s="21"/>
    </row>
    <row r="251" spans="1:49" ht="15">
      <c r="A251" s="7"/>
      <c r="B251" s="7"/>
      <c r="C251" s="21"/>
      <c r="D251" s="21"/>
      <c r="E251" s="21" t="s">
        <v>1119</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0.17231280983164587</v>
      </c>
      <c r="AS251" s="7">
        <f>(InputSummary!AS143 + InputSummary!AS144) * AS$17</f>
        <v>0.21115359437132727</v>
      </c>
      <c r="AT251" s="7">
        <f>(InputSummary!AT143 + InputSummary!AT144) * AT$17</f>
        <v>0.23043632985828613</v>
      </c>
      <c r="AU251" s="7">
        <f>(InputSummary!AU143 + InputSummary!AU144) * AU$17</f>
        <v>0.23399002246627967</v>
      </c>
      <c r="AV251" s="7">
        <f>(InputSummary!AV143 + InputSummary!AV144) * AV$17</f>
        <v>0.22199376283702399</v>
      </c>
      <c r="AW251" s="21"/>
    </row>
    <row r="252" spans="1:49" ht="15">
      <c r="A252" s="7"/>
      <c r="B252" s="7"/>
      <c r="C252" s="21"/>
      <c r="D252" s="21"/>
      <c r="E252" s="7" t="s">
        <v>1012</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-66.924036079172851</v>
      </c>
      <c r="AS252" s="7">
        <f t="shared" si="65"/>
        <v>-73.390790965214791</v>
      </c>
      <c r="AT252" s="7">
        <f t="shared" si="65"/>
        <v>-81.688838262648474</v>
      </c>
      <c r="AU252" s="7">
        <f t="shared" si="65"/>
        <v>-90.365336467409307</v>
      </c>
      <c r="AV252" s="7">
        <f t="shared" si="65"/>
        <v>-99.978182905192739</v>
      </c>
      <c r="AW252" s="21"/>
    </row>
    <row r="253" spans="1:49" ht="15">
      <c r="A253" s="98"/>
      <c r="B253" s="21"/>
      <c r="C253" s="21"/>
      <c r="D253" s="21"/>
      <c r="E253" s="7" t="s">
        <v>1013</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-22.271830273943632</v>
      </c>
      <c r="AS253" s="7">
        <f t="shared" si="65"/>
        <v>-11.79169791963742</v>
      </c>
      <c r="AT253" s="7">
        <f t="shared" si="65"/>
        <v>-7.2879090917586549</v>
      </c>
      <c r="AU253" s="7">
        <f t="shared" si="65"/>
        <v>-7.2565602713670057</v>
      </c>
      <c r="AV253" s="7">
        <f t="shared" si="65"/>
        <v>-9.3074467092445321</v>
      </c>
      <c r="AW253" s="21"/>
    </row>
    <row r="254" spans="1:49" ht="15">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-237.43359722415687</v>
      </c>
      <c r="AS254" s="7">
        <f t="shared" si="65"/>
        <v>-218.09270890835057</v>
      </c>
      <c r="AT254" s="7">
        <f t="shared" si="65"/>
        <v>-233.51472061411167</v>
      </c>
      <c r="AU254" s="7">
        <f t="shared" si="65"/>
        <v>-238.43365820157234</v>
      </c>
      <c r="AV254" s="7">
        <f t="shared" si="65"/>
        <v>-248.51368281569276</v>
      </c>
      <c r="AW254" s="21"/>
    </row>
    <row r="255" spans="1:49" ht="15">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-97.672481130472391</v>
      </c>
      <c r="AS255" s="7">
        <f t="shared" si="65"/>
        <v>-111.97429574938008</v>
      </c>
      <c r="AT255" s="7">
        <f t="shared" si="65"/>
        <v>-127.04996982180315</v>
      </c>
      <c r="AU255" s="7">
        <f t="shared" si="65"/>
        <v>-141.12929834258733</v>
      </c>
      <c r="AV255" s="7">
        <f t="shared" si="65"/>
        <v>-154.91563985211957</v>
      </c>
      <c r="AW255" s="21"/>
    </row>
    <row r="256" spans="1:49" ht="15">
      <c r="A256" s="98"/>
      <c r="B256" s="21"/>
      <c r="C256" s="21"/>
      <c r="D256" s="21"/>
      <c r="E256" s="21" t="s">
        <v>1120</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130.74355962274203</v>
      </c>
      <c r="AS256" s="431">
        <f>SUM(AS248:AS255)</f>
        <v>155.45254705439669</v>
      </c>
      <c r="AT256" s="431">
        <f>SUM(AT248:AT255)</f>
        <v>141.2534239337071</v>
      </c>
      <c r="AU256" s="431">
        <f>SUM(AU248:AU255)</f>
        <v>115.06844143665666</v>
      </c>
      <c r="AV256" s="431">
        <f>SUM(AV248:AV255)</f>
        <v>100.91657517366079</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1121</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1102</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1103</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1104</v>
      </c>
      <c r="F263" s="21"/>
      <c r="G263" s="21" t="s">
        <v>304</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1105</v>
      </c>
      <c r="F264" s="21"/>
      <c r="G264" s="21" t="s">
        <v>304</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1122</v>
      </c>
      <c r="F265" s="21"/>
      <c r="G265" s="21" t="s">
        <v>304</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0</v>
      </c>
      <c r="AS265" s="7">
        <f t="shared" ref="AS265:AU265" si="69">(AS281* AS$17) * ((1 - AS226) / AS226)</f>
        <v>0</v>
      </c>
      <c r="AT265" s="7">
        <f t="shared" si="69"/>
        <v>0</v>
      </c>
      <c r="AU265" s="7">
        <f t="shared" si="69"/>
        <v>0</v>
      </c>
      <c r="AV265" s="7">
        <f>(AV281* AV$17) * ((1 - AV226) / AV226)</f>
        <v>0</v>
      </c>
      <c r="AW265" s="21"/>
    </row>
    <row r="266" spans="1:49" ht="15">
      <c r="A266" s="98"/>
      <c r="B266" s="21"/>
      <c r="C266" s="21"/>
      <c r="D266" s="21"/>
      <c r="E266" s="21" t="s">
        <v>1123</v>
      </c>
      <c r="F266" s="21"/>
      <c r="G266" s="21" t="s">
        <v>304</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0</v>
      </c>
      <c r="AS266" s="7">
        <f t="shared" ref="AS266:AV266" si="70">IF(AS256 &gt;= 0, MIN(AS256, -AS262-AS264-AS265), 0)</f>
        <v>0</v>
      </c>
      <c r="AT266" s="7">
        <f t="shared" si="70"/>
        <v>0</v>
      </c>
      <c r="AU266" s="7">
        <f t="shared" si="70"/>
        <v>0</v>
      </c>
      <c r="AV266" s="7">
        <f t="shared" si="70"/>
        <v>0</v>
      </c>
      <c r="AW266" s="21"/>
    </row>
    <row r="267" spans="1:49" ht="15">
      <c r="A267" s="98"/>
      <c r="B267" s="21"/>
      <c r="C267" s="21"/>
      <c r="D267" s="21"/>
      <c r="E267" s="7" t="s">
        <v>1107</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1117</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1110</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130.74355962274203</v>
      </c>
      <c r="AS272" s="7">
        <f t="shared" ref="AS272:AU272" si="72">MAX( AS256 - AS266, 0)</f>
        <v>155.45254705439669</v>
      </c>
      <c r="AT272" s="7">
        <f t="shared" si="72"/>
        <v>141.2534239337071</v>
      </c>
      <c r="AU272" s="7">
        <f t="shared" si="72"/>
        <v>115.06844143665666</v>
      </c>
      <c r="AV272" s="7">
        <f>MAX( AV256 - AV266, 0)</f>
        <v>100.91657517366079</v>
      </c>
      <c r="AW272" s="21"/>
    </row>
    <row r="273" spans="1:49" ht="15">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1111</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32.685889905685507</v>
      </c>
      <c r="AS274" s="7">
        <f t="shared" si="73"/>
        <v>38.863136763599172</v>
      </c>
      <c r="AT274" s="7">
        <f t="shared" si="73"/>
        <v>35.313355983426774</v>
      </c>
      <c r="AU274" s="7">
        <f t="shared" si="73"/>
        <v>28.767110359164164</v>
      </c>
      <c r="AV274" s="7">
        <f>AV272 * AV273</f>
        <v>25.229143793415197</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1124</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1125</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0</v>
      </c>
      <c r="AS281" s="8">
        <f>InputSummary!AS282</f>
        <v>0</v>
      </c>
      <c r="AT281" s="8">
        <f>InputSummary!AT282</f>
        <v>0</v>
      </c>
      <c r="AU281" s="8">
        <f>InputSummary!AU282</f>
        <v>0</v>
      </c>
      <c r="AV281" s="8">
        <f>InputSummary!AV282</f>
        <v>0</v>
      </c>
      <c r="AW281" s="8"/>
    </row>
    <row r="282" spans="1:49" ht="15">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1.4366690915062783</v>
      </c>
      <c r="AS282" s="8">
        <f>InputSummary!AS287</f>
        <v>1.3797759532786635</v>
      </c>
      <c r="AT282" s="8">
        <f>InputSummary!AT287</f>
        <v>1.2994160329983981</v>
      </c>
      <c r="AU282" s="8">
        <f>InputSummary!AU287</f>
        <v>1.2615281568238033</v>
      </c>
      <c r="AV282" s="8">
        <f>InputSummary!AV287</f>
        <v>1.2611798067947679</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1126</v>
      </c>
      <c r="F284" s="7"/>
      <c r="G284" s="7" t="s">
        <v>868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0</v>
      </c>
      <c r="AS284" s="7" t="b">
        <f t="shared" si="74"/>
        <v>0</v>
      </c>
      <c r="AT284" s="7" t="b">
        <f t="shared" si="74"/>
        <v>0</v>
      </c>
      <c r="AU284" s="7" t="b">
        <f t="shared" si="74"/>
        <v>0</v>
      </c>
      <c r="AV284" s="7" t="b">
        <f t="shared" si="74"/>
        <v>0</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1127</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0</v>
      </c>
      <c r="AS286" s="7">
        <f t="shared" si="75"/>
        <v>0</v>
      </c>
      <c r="AT286" s="7">
        <f t="shared" si="75"/>
        <v>0</v>
      </c>
      <c r="AU286" s="7">
        <f t="shared" si="75"/>
        <v>0</v>
      </c>
      <c r="AV286" s="7">
        <f t="shared" si="75"/>
        <v>0</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1125</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0</v>
      </c>
      <c r="AS288" s="463">
        <f t="shared" ref="AS288:AV288" si="76">(AS281+AS286) * AS284</f>
        <v>0</v>
      </c>
      <c r="AT288" s="463">
        <f t="shared" si="76"/>
        <v>0</v>
      </c>
      <c r="AU288" s="463">
        <f t="shared" si="76"/>
        <v>0</v>
      </c>
      <c r="AV288" s="463">
        <f t="shared" si="76"/>
        <v>0</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1128</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1129</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0</v>
      </c>
      <c r="AS292" s="2">
        <f>(AS288 * AS$17) * ((1 - AS226) / AS226)</f>
        <v>0</v>
      </c>
      <c r="AT292" s="2">
        <f>(AT288 * AT$17) * ((1 - AT226) / AT226)</f>
        <v>0</v>
      </c>
      <c r="AU292" s="2">
        <f>(AU288 * AU$17) * ((1 - AU226) / AU226)</f>
        <v>0</v>
      </c>
      <c r="AV292" s="2">
        <f>(AV288 * AV$17) * ((1 - AV226) / AV226)</f>
        <v>0</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1130</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1131</v>
      </c>
      <c r="F296" s="2"/>
      <c r="G296" s="21" t="s">
        <v>868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1132</v>
      </c>
      <c r="F297" s="2"/>
      <c r="G297" s="21" t="s">
        <v>868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1106</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0</v>
      </c>
      <c r="AS299" s="464">
        <f t="shared" ref="AS299:AV299" si="79">IF(AS292&lt;0,AS292, AS296 * IF(AS297, -AS294,AS292))</f>
        <v>0</v>
      </c>
      <c r="AT299" s="464">
        <f t="shared" si="79"/>
        <v>0</v>
      </c>
      <c r="AU299" s="464">
        <f t="shared" si="79"/>
        <v>0</v>
      </c>
      <c r="AV299" s="464">
        <f t="shared" si="79"/>
        <v>0</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1133</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1134</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1112</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1135</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1136</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1137</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923</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2068.677184417134</v>
      </c>
      <c r="AS313" s="8">
        <f>'Return&amp;RAV'!AS46</f>
        <v>2180.7065140962845</v>
      </c>
      <c r="AT313" s="8">
        <f>'Return&amp;RAV'!AT46</f>
        <v>2315.912219097605</v>
      </c>
      <c r="AU313" s="8">
        <f>'Return&amp;RAV'!AU46</f>
        <v>2452.1005909332775</v>
      </c>
      <c r="AV313" s="8">
        <f>'Return&amp;RAV'!AV46</f>
        <v>2598.2413870551909</v>
      </c>
      <c r="AW313" s="2"/>
    </row>
    <row r="314" spans="1:49" ht="15">
      <c r="A314" s="7"/>
      <c r="B314" s="2"/>
      <c r="C314" s="2"/>
      <c r="D314" s="2"/>
      <c r="E314" s="2" t="s">
        <v>1138</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1.3123689983998859</v>
      </c>
      <c r="AS314" s="92">
        <f>InputSummary!AS195</f>
        <v>1.3406592815876854</v>
      </c>
      <c r="AT314" s="92">
        <f>InputSummary!AT195</f>
        <v>1.3609729496063137</v>
      </c>
      <c r="AU314" s="92">
        <f>InputSummary!AU195</f>
        <v>1.383709961204471</v>
      </c>
      <c r="AV314" s="92">
        <f>InputSummary!AV195</f>
        <v>1.4090308989490572</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5">
      <c r="A317" s="7"/>
      <c r="B317" s="2"/>
      <c r="C317" s="2"/>
      <c r="D317" s="2"/>
      <c r="E317" s="2" t="s">
        <v>923</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2714.86780452621</v>
      </c>
      <c r="AS317" s="7">
        <f t="shared" si="82"/>
        <v>2923.5844285419107</v>
      </c>
      <c r="AT317" s="7">
        <f t="shared" si="82"/>
        <v>3151.893883854571</v>
      </c>
      <c r="AU317" s="7">
        <f t="shared" si="82"/>
        <v>3392.9960135497458</v>
      </c>
      <c r="AV317" s="7">
        <f t="shared" si="82"/>
        <v>3661.0023972890208</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1139</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v>
      </c>
      <c r="AS319" s="185">
        <f t="shared" si="83"/>
        <v>0</v>
      </c>
      <c r="AT319" s="185">
        <f t="shared" si="83"/>
        <v>0</v>
      </c>
      <c r="AU319" s="185">
        <f t="shared" si="83"/>
        <v>0</v>
      </c>
      <c r="AV319" s="185">
        <f t="shared" si="83"/>
        <v>0</v>
      </c>
      <c r="AW319" s="2"/>
    </row>
    <row r="320" spans="1:49" ht="15">
      <c r="A320" s="7"/>
      <c r="B320" s="2"/>
      <c r="C320" s="2"/>
      <c r="D320" s="2"/>
      <c r="E320" s="2" t="s">
        <v>1140</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InputSummary!AR288</f>
        <v>0.65</v>
      </c>
      <c r="AS320" s="123">
        <f>InputSummary!AS288</f>
        <v>0.64</v>
      </c>
      <c r="AT320" s="123">
        <f>InputSummary!AT288</f>
        <v>0.63</v>
      </c>
      <c r="AU320" s="123">
        <f>InputSummary!AU288</f>
        <v>0.61</v>
      </c>
      <c r="AV320" s="123">
        <f>InputSummary!AV288</f>
        <v>0.6</v>
      </c>
      <c r="AW320" s="2"/>
    </row>
    <row r="321" spans="1:49" ht="15">
      <c r="A321" s="7"/>
      <c r="B321" s="2"/>
      <c r="C321" s="2"/>
      <c r="D321" s="2"/>
      <c r="E321" s="2" t="s">
        <v>1141</v>
      </c>
      <c r="F321" s="2"/>
      <c r="G321" s="2" t="s">
        <v>868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1142</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5">
      <c r="A326" s="7"/>
      <c r="B326" s="2"/>
      <c r="C326" s="2"/>
      <c r="D326" s="2"/>
      <c r="E326" s="2" t="s">
        <v>1143</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89.195866353116486</v>
      </c>
      <c r="AS326" s="2">
        <f xml:space="preserve"> - (AS203+AS204)</f>
        <v>85.182488884852205</v>
      </c>
      <c r="AT326" s="2">
        <f xml:space="preserve"> - (AT203+AT204)</f>
        <v>88.976747354407124</v>
      </c>
      <c r="AU326" s="2">
        <f xml:space="preserve"> - (AU203+AU204)</f>
        <v>97.621896738776314</v>
      </c>
      <c r="AV326" s="2">
        <f xml:space="preserve"> - (AV203+AV204)</f>
        <v>109.28562961443727</v>
      </c>
      <c r="AW326" s="2"/>
    </row>
    <row r="327" spans="1:49" ht="15">
      <c r="A327" s="7"/>
      <c r="B327" s="2"/>
      <c r="C327" s="2"/>
      <c r="D327" s="2"/>
      <c r="E327" s="2" t="s">
        <v>1144</v>
      </c>
      <c r="F327" s="2"/>
      <c r="G327" s="2" t="s">
        <v>868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1145</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1146</v>
      </c>
      <c r="F331" s="2"/>
      <c r="G331" s="2" t="s">
        <v>868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1145</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395" priority="9" operator="equal">
      <formula>FALSE()</formula>
    </cfRule>
  </conditionalFormatting>
  <conditionalFormatting sqref="AJ284:AU284 AR284:AV285">
    <cfRule type="cellIs" dxfId="394" priority="16" operator="equal">
      <formula>FALSE()</formula>
    </cfRule>
  </conditionalFormatting>
  <conditionalFormatting sqref="AJ296:AV297">
    <cfRule type="cellIs" dxfId="393" priority="10" operator="equal">
      <formula>FALSE()</formula>
    </cfRule>
  </conditionalFormatting>
  <conditionalFormatting sqref="AJ321:AV321">
    <cfRule type="cellIs" dxfId="392" priority="8" operator="equal">
      <formula>FALSE()</formula>
    </cfRule>
  </conditionalFormatting>
  <conditionalFormatting sqref="AJ327:AV327">
    <cfRule type="cellIs" dxfId="391" priority="7" operator="equal">
      <formula>FALSE()</formula>
    </cfRule>
  </conditionalFormatting>
  <conditionalFormatting sqref="AJ331:AV331">
    <cfRule type="cellIs" dxfId="390" priority="6" operator="equal">
      <formula>FALSE()</formula>
    </cfRule>
  </conditionalFormatting>
  <conditionalFormatting sqref="AM2">
    <cfRule type="expression" dxfId="389" priority="1">
      <formula>mac_sensitivity=2</formula>
    </cfRule>
    <cfRule type="expression" dxfId="388" priority="2">
      <formula>mac_sensitivity=1</formula>
    </cfRule>
  </conditionalFormatting>
  <conditionalFormatting sqref="AM3">
    <cfRule type="expression" dxfId="387" priority="3">
      <formula>$AM$3="OK"</formula>
    </cfRule>
  </conditionalFormatting>
  <conditionalFormatting sqref="AR12:AR13 AJ84:AV84">
    <cfRule type="cellIs" dxfId="386" priority="22" operator="equal">
      <formula>FALSE()</formula>
    </cfRule>
  </conditionalFormatting>
  <conditionalFormatting sqref="AR176:AV176">
    <cfRule type="cellIs" dxfId="385" priority="20" operator="equal">
      <formula>FALSE()</formula>
    </cfRule>
  </conditionalFormatting>
  <conditionalFormatting sqref="AR327:AV328">
    <cfRule type="cellIs" dxfId="384"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1148</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1150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1151</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1152</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925</v>
      </c>
      <c r="G14" s="2" t="s">
        <v>105</v>
      </c>
      <c r="H14" s="82" t="s">
        <v>1153</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1986.6399262770576</v>
      </c>
      <c r="AS14" s="400">
        <f>'Return&amp;RAV'!AS23</f>
        <v>2081.3757310073979</v>
      </c>
      <c r="AT14" s="400">
        <f>'Return&amp;RAV'!AT23</f>
        <v>2202.2222086459969</v>
      </c>
      <c r="AU14" s="400">
        <f>'Return&amp;RAV'!AU23</f>
        <v>2335.0757719955618</v>
      </c>
      <c r="AV14" s="400">
        <f>'Return&amp;RAV'!AV23</f>
        <v>2473.099581118458</v>
      </c>
    </row>
    <row r="15" spans="1:102" s="82" customFormat="1" ht="15">
      <c r="E15" s="194" t="s">
        <v>1154</v>
      </c>
      <c r="G15" s="2" t="s">
        <v>105</v>
      </c>
      <c r="H15" s="21" t="s">
        <v>1155</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794.65597051082307</v>
      </c>
      <c r="AS15" s="449">
        <f t="shared" ref="AS15:AV15" si="0">AS14 * (1 - AS13)</f>
        <v>832.55029240295926</v>
      </c>
      <c r="AT15" s="449">
        <f t="shared" si="0"/>
        <v>880.88888345839882</v>
      </c>
      <c r="AU15" s="449">
        <f t="shared" si="0"/>
        <v>934.03030879822472</v>
      </c>
      <c r="AV15" s="449">
        <f t="shared" si="0"/>
        <v>989.23983244738326</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1156</v>
      </c>
      <c r="G17" s="2" t="s">
        <v>105</v>
      </c>
      <c r="H17" s="21" t="s">
        <v>1157</v>
      </c>
      <c r="I17" s="438">
        <f>SUM(AR14:AV14)</f>
        <v>11078.413219044472</v>
      </c>
      <c r="AJ17" s="93"/>
      <c r="AK17" s="93"/>
      <c r="AL17" s="93"/>
      <c r="AM17" s="93"/>
      <c r="AN17" s="93"/>
      <c r="AO17" s="93"/>
      <c r="AP17" s="93"/>
      <c r="AQ17" s="241"/>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1158</v>
      </c>
      <c r="F19" s="194"/>
      <c r="G19" s="2" t="s">
        <v>105</v>
      </c>
      <c r="H19" s="21" t="s">
        <v>1159</v>
      </c>
      <c r="I19" s="440">
        <f>I17 * (1 - I18)</f>
        <v>4431.3652876177894</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1160</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1161</v>
      </c>
      <c r="G23" s="2" t="s">
        <v>105</v>
      </c>
      <c r="AJ23" s="92"/>
      <c r="AK23" s="92"/>
      <c r="AL23" s="92"/>
      <c r="AM23" s="92"/>
      <c r="AN23" s="92"/>
      <c r="AO23" s="92"/>
      <c r="AP23" s="92"/>
      <c r="AQ23" s="215"/>
      <c r="AR23" s="8">
        <f>-(TIM!AR15 * (1 - TIM!AR17) + TIM!AR28 * (1 - TIM!AR30))</f>
        <v>21.729168536200024</v>
      </c>
      <c r="AS23" s="8">
        <f>-(TIM!AS15 * (1 - TIM!AS17) + TIM!AS28 * (1 - TIM!AS30))</f>
        <v>0.74036082396202696</v>
      </c>
      <c r="AT23" s="8">
        <f>-(TIM!AT15 * (1 - TIM!AT17) + TIM!AT28 * (1 - TIM!AT30))</f>
        <v>0.30568438604052028</v>
      </c>
      <c r="AU23" s="8">
        <f>-(TIM!AU15 * (1 - TIM!AU17) + TIM!AU28 * (1 - TIM!AU30))</f>
        <v>-6.7647158823284252</v>
      </c>
      <c r="AV23" s="8">
        <f>-(TIM!AV15 * (1 - TIM!AV17) + TIM!AV28 * (1 - TIM!AV30))</f>
        <v>-6.4274703329994178</v>
      </c>
    </row>
    <row r="24" spans="1:49" s="82" customFormat="1" ht="15">
      <c r="E24" s="56" t="s">
        <v>1162</v>
      </c>
      <c r="G24" s="2" t="s">
        <v>105</v>
      </c>
      <c r="AJ24" s="92"/>
      <c r="AK24" s="92"/>
      <c r="AL24" s="92"/>
      <c r="AM24" s="92"/>
      <c r="AO24" s="437"/>
      <c r="AP24" s="92"/>
      <c r="AQ24" s="215"/>
      <c r="AR24" s="8">
        <f>Revenue!AR16</f>
        <v>2.3530666004333303</v>
      </c>
      <c r="AS24" s="8">
        <f>Revenue!AS16</f>
        <v>8.2456245510486603</v>
      </c>
      <c r="AT24" s="8">
        <f>Revenue!AT16</f>
        <v>7.8623598823044878</v>
      </c>
      <c r="AU24" s="8">
        <f>Revenue!AU16</f>
        <v>8.8453225846841654</v>
      </c>
      <c r="AV24" s="8">
        <f>Revenue!AV16</f>
        <v>12.85667335267912</v>
      </c>
    </row>
    <row r="25" spans="1:49" s="82" customFormat="1" ht="15">
      <c r="E25" s="56" t="s">
        <v>1160</v>
      </c>
      <c r="G25" s="2" t="s">
        <v>105</v>
      </c>
      <c r="I25" s="393"/>
      <c r="AJ25" s="92"/>
      <c r="AK25" s="92"/>
      <c r="AL25" s="92"/>
      <c r="AM25" s="92"/>
      <c r="AN25" s="144"/>
      <c r="AO25" s="437"/>
      <c r="AP25" s="92"/>
      <c r="AQ25" s="215"/>
      <c r="AR25" s="447">
        <f>SUM(AR23:AR24)</f>
        <v>24.082235136633354</v>
      </c>
      <c r="AS25" s="431">
        <f t="shared" ref="AS25:AV25" si="1">SUM(AS23:AS24)</f>
        <v>8.9859853750106868</v>
      </c>
      <c r="AT25" s="431">
        <f t="shared" si="1"/>
        <v>8.1680442683450085</v>
      </c>
      <c r="AU25" s="431">
        <f t="shared" si="1"/>
        <v>2.0806067023557402</v>
      </c>
      <c r="AV25" s="431">
        <f t="shared" si="1"/>
        <v>6.4292030196797025</v>
      </c>
    </row>
    <row r="26" spans="1:49" s="82" customFormat="1" ht="15">
      <c r="E26" s="56"/>
      <c r="AJ26" s="92"/>
      <c r="AK26" s="92"/>
      <c r="AL26" s="92"/>
      <c r="AM26" s="92"/>
      <c r="AN26" s="250"/>
      <c r="AO26" s="400"/>
      <c r="AP26" s="92"/>
      <c r="AQ26" s="215"/>
      <c r="AR26" s="92"/>
      <c r="AS26" s="92"/>
      <c r="AT26" s="92"/>
      <c r="AU26" s="92"/>
      <c r="AV26" s="92"/>
    </row>
    <row r="27" spans="1:49" s="82" customFormat="1" ht="15">
      <c r="E27" s="56" t="s">
        <v>1163</v>
      </c>
      <c r="F27"/>
      <c r="G27" s="2" t="s">
        <v>249</v>
      </c>
      <c r="H27" s="82" t="s">
        <v>1164</v>
      </c>
      <c r="I27" s="289">
        <f>SUM(AR25:AV25)/SUM(AR15:AV15)</f>
        <v>1.1225902464196752E-2</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1165</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1166</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5">
      <c r="E36" s="56" t="s">
        <v>297</v>
      </c>
      <c r="G36" s="2" t="s">
        <v>209</v>
      </c>
      <c r="H36" s="82" t="s">
        <v>298</v>
      </c>
      <c r="I36" s="439">
        <f>InputSummary!I243</f>
        <v>1</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1167</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1168</v>
      </c>
      <c r="G40" s="2" t="s">
        <v>868</v>
      </c>
      <c r="I40" s="82" t="b">
        <f>I27 &gt;= 0</f>
        <v>1</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1169</v>
      </c>
      <c r="G42" s="2" t="s">
        <v>209</v>
      </c>
      <c r="I42" s="311">
        <f>I40 * MAX( MIN( I27, I34) - I33, 0) * I35</f>
        <v>0</v>
      </c>
      <c r="AJ42" s="92"/>
      <c r="AK42" s="92"/>
      <c r="AL42" s="92"/>
      <c r="AM42" s="92"/>
      <c r="AN42" s="92"/>
      <c r="AO42" s="92"/>
      <c r="AP42" s="92"/>
      <c r="AQ42" s="215"/>
      <c r="AR42" s="92"/>
      <c r="AS42" s="92"/>
      <c r="AT42" s="92"/>
      <c r="AU42" s="92"/>
      <c r="AV42" s="92"/>
    </row>
    <row r="43" spans="2:52" s="82" customFormat="1" ht="15">
      <c r="E43" s="2" t="s">
        <v>1170</v>
      </c>
      <c r="G43" s="2" t="s">
        <v>209</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1167</v>
      </c>
      <c r="G45" s="2" t="s">
        <v>105</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1171</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1172</v>
      </c>
      <c r="F49" s="35"/>
      <c r="G49" s="21" t="s">
        <v>868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1173</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1174</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1171</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1175</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1176</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1177</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1178</v>
      </c>
      <c r="F60" s="35"/>
      <c r="G60" s="2" t="s">
        <v>105</v>
      </c>
      <c r="H60" s="35" t="s">
        <v>1179</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1180</v>
      </c>
      <c r="F62" s="35"/>
      <c r="G62" s="2" t="s">
        <v>209</v>
      </c>
      <c r="H62" s="35" t="s">
        <v>1181</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0.17932531374275709</v>
      </c>
      <c r="AS62" s="439">
        <f t="shared" ref="AS62:AV62" si="2">AS15/$I$19</f>
        <v>0.18787670127969097</v>
      </c>
      <c r="AT62" s="439">
        <f t="shared" si="2"/>
        <v>0.19878498527751626</v>
      </c>
      <c r="AU62" s="439">
        <f t="shared" si="2"/>
        <v>0.21077709648719575</v>
      </c>
      <c r="AV62" s="439">
        <f t="shared" si="2"/>
        <v>0.2232359032128399</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1182</v>
      </c>
      <c r="F64" s="35"/>
      <c r="G64" s="2" t="s">
        <v>105</v>
      </c>
      <c r="H64" s="35" t="s">
        <v>1183</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1184</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1160</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24.082235136633354</v>
      </c>
      <c r="AS68" s="7">
        <f t="shared" ref="AS68:AV68" si="4">AS25</f>
        <v>8.9859853750106868</v>
      </c>
      <c r="AT68" s="7">
        <f t="shared" si="4"/>
        <v>8.1680442683450085</v>
      </c>
      <c r="AU68" s="7">
        <f t="shared" si="4"/>
        <v>2.0806067023557402</v>
      </c>
      <c r="AV68" s="7">
        <f t="shared" si="4"/>
        <v>6.4292030196797025</v>
      </c>
      <c r="AW68" s="34"/>
      <c r="AX68"/>
      <c r="AY68"/>
      <c r="AZ68"/>
    </row>
    <row r="69" spans="1:52" s="21" customFormat="1" ht="15">
      <c r="B69" s="34"/>
      <c r="C69" s="34"/>
      <c r="D69" s="34"/>
      <c r="E69" s="35" t="s">
        <v>1182</v>
      </c>
      <c r="F69" s="35"/>
      <c r="G69" s="2" t="s">
        <v>105</v>
      </c>
      <c r="H69" s="35" t="s">
        <v>1183</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1185</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24.082235136633354</v>
      </c>
      <c r="AS70" s="431">
        <f t="shared" ref="AS70:AV70" si="6">SUM(AS68:AS69)</f>
        <v>8.9859853750106868</v>
      </c>
      <c r="AT70" s="431">
        <f t="shared" si="6"/>
        <v>8.1680442683450085</v>
      </c>
      <c r="AU70" s="431">
        <f t="shared" si="6"/>
        <v>2.0806067023557402</v>
      </c>
      <c r="AV70" s="431">
        <f t="shared" si="6"/>
        <v>6.4292030196797025</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1163</v>
      </c>
      <c r="F72" s="35"/>
      <c r="G72" s="21" t="s">
        <v>1186</v>
      </c>
      <c r="H72" s="35"/>
      <c r="I72" s="450">
        <f>SUM(AR68:AV68) / I19</f>
        <v>1.1225902464196752E-2</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1178</v>
      </c>
      <c r="F73" s="35"/>
      <c r="G73" s="21" t="s">
        <v>1186</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1187</v>
      </c>
      <c r="F74" s="35"/>
      <c r="G74" s="21" t="s">
        <v>1186</v>
      </c>
      <c r="H74" s="35"/>
      <c r="I74" s="451">
        <f>SUM(I72:I73)</f>
        <v>1.1225902464196752E-2</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383" priority="1">
      <formula>mac_sensitivity=2</formula>
    </cfRule>
    <cfRule type="expression" dxfId="382" priority="2">
      <formula>mac_sensitivity=1</formula>
    </cfRule>
  </conditionalFormatting>
  <conditionalFormatting sqref="AM3">
    <cfRule type="expression" dxfId="38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activeCell="AT12" sqref="AT12"/>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1188</v>
      </c>
      <c r="F8" s="21"/>
      <c r="G8" s="2" t="s">
        <v>105</v>
      </c>
      <c r="H8" s="288"/>
      <c r="I8" s="2" t="s">
        <v>1189</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103.86946868714158</v>
      </c>
      <c r="AS8" s="8">
        <f>TIM!AS66</f>
        <v>114.19749069816989</v>
      </c>
      <c r="AT8" s="8">
        <f>TIM!AT66</f>
        <v>117.49340039946334</v>
      </c>
      <c r="AU8" s="8">
        <f>TIM!AU66</f>
        <v>113.88388641032662</v>
      </c>
      <c r="AV8" s="8">
        <f>TIM!AV66</f>
        <v>114.11918483105181</v>
      </c>
    </row>
    <row r="9" spans="1:52" ht="15">
      <c r="E9" s="7" t="s">
        <v>935</v>
      </c>
      <c r="F9" s="7"/>
      <c r="G9" s="2" t="s">
        <v>105</v>
      </c>
      <c r="H9" s="288"/>
      <c r="I9" s="2" t="s">
        <v>1190</v>
      </c>
      <c r="AJ9" s="8"/>
      <c r="AK9" s="8"/>
      <c r="AL9" s="8"/>
      <c r="AM9" s="8"/>
      <c r="AN9" s="8"/>
      <c r="AO9" s="8"/>
      <c r="AP9" s="8"/>
      <c r="AQ9" s="435"/>
      <c r="AR9" s="8">
        <f>-'Return&amp;RAV'!AR45</f>
        <v>152.59365916810106</v>
      </c>
      <c r="AS9" s="8">
        <f>-'Return&amp;RAV'!AS45</f>
        <v>148.89459816810435</v>
      </c>
      <c r="AT9" s="8">
        <f>-'Return&amp;RAV'!AT45</f>
        <v>146.02690456986772</v>
      </c>
      <c r="AU9" s="8">
        <f>-'Return&amp;RAV'!AU45</f>
        <v>142.10832493103359</v>
      </c>
      <c r="AV9" s="8">
        <f>-'Return&amp;RAV'!AV45</f>
        <v>141.89000130396454</v>
      </c>
    </row>
    <row r="10" spans="1:52" ht="15">
      <c r="E10" s="7" t="s">
        <v>530</v>
      </c>
      <c r="F10" s="7"/>
      <c r="G10" s="2" t="s">
        <v>105</v>
      </c>
      <c r="H10" s="288"/>
      <c r="I10" s="2" t="s">
        <v>1191</v>
      </c>
      <c r="AJ10" s="8"/>
      <c r="AK10" s="8"/>
      <c r="AL10" s="8"/>
      <c r="AM10" s="8"/>
      <c r="AN10" s="8"/>
      <c r="AO10" s="8"/>
      <c r="AP10" s="8"/>
      <c r="AQ10" s="435"/>
      <c r="AR10" s="8">
        <f>'Return&amp;RAV'!AR30</f>
        <v>78.936311673987746</v>
      </c>
      <c r="AS10" s="8">
        <f>'Return&amp;RAV'!AS30</f>
        <v>86.106895299809977</v>
      </c>
      <c r="AT10" s="8">
        <f>'Return&amp;RAV'!AT30</f>
        <v>91.282486687929818</v>
      </c>
      <c r="AU10" s="8">
        <f>'Return&amp;RAV'!AU30</f>
        <v>97.064673472222111</v>
      </c>
      <c r="AV10" s="8">
        <f>'Return&amp;RAV'!AV30</f>
        <v>103.26598835147068</v>
      </c>
    </row>
    <row r="11" spans="1:52" ht="15">
      <c r="E11" s="7" t="s">
        <v>751</v>
      </c>
      <c r="F11" s="21"/>
      <c r="G11" s="2" t="s">
        <v>105</v>
      </c>
      <c r="H11" s="288"/>
      <c r="I11" s="2" t="s">
        <v>1192</v>
      </c>
      <c r="AJ11" s="8"/>
      <c r="AK11" s="8"/>
      <c r="AL11" s="8"/>
      <c r="AM11" s="8"/>
      <c r="AN11" s="8"/>
      <c r="AO11" s="8"/>
      <c r="AP11" s="8"/>
      <c r="AQ11" s="435"/>
      <c r="AR11" s="8">
        <f>InputSummary!AR97</f>
        <v>61.071101145848431</v>
      </c>
      <c r="AS11" s="8">
        <f>InputSummary!AS97</f>
        <v>41.105799882894559</v>
      </c>
      <c r="AT11" s="8">
        <f>InputSummary!AT97</f>
        <v>46.643071714351265</v>
      </c>
      <c r="AU11" s="8">
        <f>InputSummary!AU97</f>
        <v>46.996593097052049</v>
      </c>
      <c r="AV11" s="8">
        <f>InputSummary!AV97</f>
        <v>47.368929384296024</v>
      </c>
    </row>
    <row r="12" spans="1:52" ht="15">
      <c r="E12" s="133" t="s">
        <v>1193</v>
      </c>
      <c r="F12" s="21"/>
      <c r="G12" s="180" t="s">
        <v>105</v>
      </c>
      <c r="H12" s="288"/>
      <c r="I12" s="2"/>
      <c r="AJ12" s="539"/>
      <c r="AK12" s="539"/>
      <c r="AL12" s="539"/>
      <c r="AM12" s="539"/>
      <c r="AN12" s="539"/>
      <c r="AO12" s="539"/>
      <c r="AP12" s="539"/>
      <c r="AQ12" s="540"/>
      <c r="AR12" s="539">
        <f t="shared" ref="AR12:AV12" si="0">SUM(AR8:AR11)</f>
        <v>396.47054067507884</v>
      </c>
      <c r="AS12" s="539">
        <f t="shared" si="0"/>
        <v>390.30478404897883</v>
      </c>
      <c r="AT12" s="539">
        <f t="shared" si="0"/>
        <v>401.44586337161212</v>
      </c>
      <c r="AU12" s="539">
        <f t="shared" si="0"/>
        <v>400.05347791063434</v>
      </c>
      <c r="AV12" s="539">
        <f t="shared" si="0"/>
        <v>406.64410387078306</v>
      </c>
    </row>
    <row r="13" spans="1:52" ht="15">
      <c r="E13" s="21" t="s">
        <v>1194</v>
      </c>
      <c r="F13" s="21"/>
      <c r="G13" s="2" t="s">
        <v>105</v>
      </c>
      <c r="H13" s="288"/>
      <c r="I13" s="2" t="s">
        <v>1195</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1196</v>
      </c>
      <c r="AJ14" s="8"/>
      <c r="AK14" s="8"/>
      <c r="AL14" s="8"/>
      <c r="AM14" s="8"/>
      <c r="AN14" s="8"/>
      <c r="AO14" s="8"/>
      <c r="AP14" s="8"/>
      <c r="AQ14" s="435"/>
      <c r="AR14" s="8">
        <f>'Finance&amp;Tax'!AR185</f>
        <v>4.5928756912183246</v>
      </c>
      <c r="AS14" s="8">
        <f>'Finance&amp;Tax'!AS185</f>
        <v>0</v>
      </c>
      <c r="AT14" s="8">
        <f>'Finance&amp;Tax'!AT185</f>
        <v>0</v>
      </c>
      <c r="AU14" s="8">
        <f>'Finance&amp;Tax'!AU185</f>
        <v>0</v>
      </c>
      <c r="AV14" s="8">
        <f>'Finance&amp;Tax'!AV185</f>
        <v>0</v>
      </c>
    </row>
    <row r="15" spans="1:52" ht="15">
      <c r="E15" s="7" t="s">
        <v>1197</v>
      </c>
      <c r="F15" s="21"/>
      <c r="G15" s="2" t="s">
        <v>105</v>
      </c>
      <c r="H15" s="288"/>
      <c r="I15" s="2" t="s">
        <v>1198</v>
      </c>
      <c r="AJ15" s="8"/>
      <c r="AK15" s="8"/>
      <c r="AL15" s="8"/>
      <c r="AM15" s="8"/>
      <c r="AN15" s="8"/>
      <c r="AO15" s="8"/>
      <c r="AP15" s="8"/>
      <c r="AQ15" s="435"/>
      <c r="AR15" s="8">
        <f>TIM!AR76</f>
        <v>0</v>
      </c>
      <c r="AS15" s="8">
        <f>TIM!AS76</f>
        <v>0</v>
      </c>
      <c r="AT15" s="8">
        <f>TIM!AT76</f>
        <v>0</v>
      </c>
      <c r="AU15" s="8">
        <f>TIM!AU76</f>
        <v>0</v>
      </c>
      <c r="AV15" s="8">
        <f>TIM!AV76</f>
        <v>0</v>
      </c>
    </row>
    <row r="16" spans="1:52" ht="15">
      <c r="E16" s="7" t="s">
        <v>1199</v>
      </c>
      <c r="F16" s="21"/>
      <c r="G16" s="2" t="s">
        <v>105</v>
      </c>
      <c r="H16" s="288"/>
      <c r="I16" s="2" t="s">
        <v>1200</v>
      </c>
      <c r="AJ16" s="8"/>
      <c r="AK16" s="8"/>
      <c r="AL16" s="8"/>
      <c r="AM16" s="8"/>
      <c r="AN16" s="8"/>
      <c r="AO16" s="8"/>
      <c r="AP16" s="8"/>
      <c r="AQ16" s="435"/>
      <c r="AR16" s="8">
        <f>InputSummary!AR111</f>
        <v>2.3530666004333303</v>
      </c>
      <c r="AS16" s="8">
        <f>InputSummary!AS111</f>
        <v>8.2456245510486603</v>
      </c>
      <c r="AT16" s="8">
        <f>InputSummary!AT111</f>
        <v>7.8623598823044878</v>
      </c>
      <c r="AU16" s="8">
        <f>InputSummary!AU111</f>
        <v>8.8453225846841654</v>
      </c>
      <c r="AV16" s="8">
        <f>InputSummary!AV111</f>
        <v>12.85667335267912</v>
      </c>
    </row>
    <row r="17" spans="1:48" ht="15">
      <c r="E17" s="7" t="s">
        <v>3</v>
      </c>
      <c r="F17" s="21"/>
      <c r="G17" s="2" t="s">
        <v>105</v>
      </c>
      <c r="H17" s="288"/>
      <c r="I17" s="2" t="s">
        <v>1201</v>
      </c>
      <c r="AJ17" s="8"/>
      <c r="AK17" s="8"/>
      <c r="AL17" s="8"/>
      <c r="AM17" s="8"/>
      <c r="AN17" s="8"/>
      <c r="AO17" s="8"/>
      <c r="AP17" s="8"/>
      <c r="AQ17" s="435"/>
      <c r="AR17" s="8">
        <f>InputSummary!AR123</f>
        <v>1.6800000000000002</v>
      </c>
      <c r="AS17" s="8">
        <f>InputSummary!AS123</f>
        <v>1.6800000000000002</v>
      </c>
      <c r="AT17" s="8">
        <f>InputSummary!AT123</f>
        <v>1.6800000000000002</v>
      </c>
      <c r="AU17" s="8">
        <f>InputSummary!AU123</f>
        <v>1.6800000000000002</v>
      </c>
      <c r="AV17" s="8">
        <f>InputSummary!AV123</f>
        <v>1.6799999999999997</v>
      </c>
    </row>
    <row r="18" spans="1:48" ht="15">
      <c r="E18" s="7" t="s">
        <v>576</v>
      </c>
      <c r="F18" s="21"/>
      <c r="G18" s="2" t="s">
        <v>105</v>
      </c>
      <c r="H18" s="288"/>
      <c r="I18" s="2" t="s">
        <v>213</v>
      </c>
      <c r="AJ18" s="8"/>
      <c r="AK18" s="8"/>
      <c r="AL18" s="8"/>
      <c r="AM18" s="8"/>
      <c r="AN18" s="8"/>
      <c r="AO18" s="8"/>
      <c r="AP18" s="8"/>
      <c r="AQ18" s="435"/>
      <c r="AR18" s="8">
        <f>InputSummary!AR149</f>
        <v>0</v>
      </c>
      <c r="AS18" s="8">
        <f>InputSummary!AS149</f>
        <v>0</v>
      </c>
      <c r="AT18" s="8">
        <f>InputSummary!AT149</f>
        <v>0</v>
      </c>
      <c r="AU18" s="8">
        <f>InputSummary!AU149</f>
        <v>0</v>
      </c>
      <c r="AV18" s="8">
        <f>InputSummary!AV149</f>
        <v>0</v>
      </c>
    </row>
    <row r="19" spans="1:48" ht="15">
      <c r="E19" s="133" t="s">
        <v>1202</v>
      </c>
      <c r="F19" s="21"/>
      <c r="G19" s="180" t="s">
        <v>105</v>
      </c>
      <c r="H19" s="288"/>
      <c r="I19" s="2"/>
      <c r="AJ19" s="541"/>
      <c r="AK19" s="541"/>
      <c r="AL19" s="541"/>
      <c r="AM19" s="541"/>
      <c r="AN19" s="541"/>
      <c r="AO19" s="541"/>
      <c r="AP19" s="541"/>
      <c r="AQ19" s="542"/>
      <c r="AR19" s="541">
        <f t="shared" ref="AR19:AV19" si="1">SUM(AR12:AR18)</f>
        <v>405.09648296673049</v>
      </c>
      <c r="AS19" s="541">
        <f t="shared" si="1"/>
        <v>400.23040860002749</v>
      </c>
      <c r="AT19" s="541">
        <f t="shared" si="1"/>
        <v>410.9882232539166</v>
      </c>
      <c r="AU19" s="541">
        <f t="shared" si="1"/>
        <v>410.57880049531849</v>
      </c>
      <c r="AV19" s="541">
        <f t="shared" si="1"/>
        <v>421.1807772234622</v>
      </c>
    </row>
    <row r="20" spans="1:48" ht="15">
      <c r="E20" s="21" t="s">
        <v>533</v>
      </c>
      <c r="F20" s="21"/>
      <c r="G20" s="2" t="s">
        <v>105</v>
      </c>
      <c r="H20" s="288"/>
      <c r="I20" s="2" t="s">
        <v>1203</v>
      </c>
      <c r="AJ20" s="93"/>
      <c r="AK20" s="93"/>
      <c r="AL20" s="93"/>
      <c r="AM20" s="93"/>
      <c r="AN20" s="93"/>
      <c r="AO20" s="93"/>
      <c r="AP20" s="8"/>
      <c r="AQ20" s="435"/>
      <c r="AR20" s="8">
        <f>'Finance&amp;Tax'!AR240</f>
        <v>25.321177637627386</v>
      </c>
      <c r="AS20" s="8">
        <f>'Finance&amp;Tax'!AS240</f>
        <v>29.215065166459617</v>
      </c>
      <c r="AT20" s="8">
        <f>'Finance&amp;Tax'!AT240</f>
        <v>26.093049396658113</v>
      </c>
      <c r="AU20" s="8">
        <f>'Finance&amp;Tax'!AU240</f>
        <v>20.924772066224396</v>
      </c>
      <c r="AV20" s="8">
        <f>'Finance&amp;Tax'!AV240</f>
        <v>18.024496167880077</v>
      </c>
    </row>
    <row r="21" spans="1:48" ht="15">
      <c r="E21" s="21" t="s">
        <v>329</v>
      </c>
      <c r="F21" s="21"/>
      <c r="G21" s="2" t="s">
        <v>105</v>
      </c>
      <c r="H21" s="288"/>
      <c r="I21" s="2" t="s">
        <v>1204</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1205</v>
      </c>
      <c r="F22" s="21"/>
      <c r="G22" s="180" t="s">
        <v>105</v>
      </c>
      <c r="H22" s="288"/>
      <c r="I22" s="2"/>
      <c r="AJ22" s="541"/>
      <c r="AK22" s="541"/>
      <c r="AL22" s="541"/>
      <c r="AM22" s="541"/>
      <c r="AN22" s="541"/>
      <c r="AO22" s="541"/>
      <c r="AP22" s="541"/>
      <c r="AQ22" s="542"/>
      <c r="AR22" s="541">
        <f t="shared" ref="AR22:AV22" si="2">SUM(AR19:AR21)</f>
        <v>430.41766060435788</v>
      </c>
      <c r="AS22" s="541">
        <f t="shared" si="2"/>
        <v>429.44547376648711</v>
      </c>
      <c r="AT22" s="541">
        <f t="shared" si="2"/>
        <v>437.0812726505747</v>
      </c>
      <c r="AU22" s="541">
        <f t="shared" si="2"/>
        <v>431.50357256154291</v>
      </c>
      <c r="AV22" s="541">
        <f t="shared" si="2"/>
        <v>439.2052733913423</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380" priority="1">
      <formula>mac_sensitivity=2</formula>
    </cfRule>
    <cfRule type="expression" dxfId="379" priority="2">
      <formula>mac_sensitivity=1</formula>
    </cfRule>
  </conditionalFormatting>
  <conditionalFormatting sqref="AM3">
    <cfRule type="expression" dxfId="37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59" zoomScale="85" zoomScaleNormal="85" workbookViewId="0">
      <selection activeCell="AT95" sqref="AT95"/>
    </sheetView>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1206</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552</v>
      </c>
      <c r="F11" s="2"/>
      <c r="G11" s="2" t="s">
        <v>868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1207</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950</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1.3966351746111914</v>
      </c>
    </row>
    <row r="17" spans="3:48" s="82" customFormat="1" ht="15">
      <c r="E17" s="2" t="s">
        <v>1208</v>
      </c>
      <c r="G17" s="2"/>
      <c r="H17" s="82" t="s">
        <v>1209</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410.84351386479216</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1210</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397</v>
      </c>
      <c r="AJ21" s="92"/>
      <c r="AK21" s="92"/>
      <c r="AL21" s="92"/>
      <c r="AM21" s="92"/>
      <c r="AN21" s="92"/>
      <c r="AO21" s="92"/>
      <c r="AP21" s="92"/>
      <c r="AQ21" s="215"/>
      <c r="AR21" s="92"/>
      <c r="AS21" s="92"/>
      <c r="AT21" s="92"/>
      <c r="AU21" s="92"/>
      <c r="AV21" s="92"/>
    </row>
    <row r="22" spans="3:48" s="82" customFormat="1" ht="15">
      <c r="E22" s="346" t="s">
        <v>792</v>
      </c>
      <c r="G22" s="2" t="s">
        <v>304</v>
      </c>
      <c r="H22" s="82" t="s">
        <v>793</v>
      </c>
      <c r="AJ22" s="92"/>
      <c r="AK22" s="92"/>
      <c r="AL22" s="92"/>
      <c r="AM22" s="92"/>
      <c r="AN22" s="92"/>
      <c r="AO22" s="92"/>
      <c r="AP22" s="92"/>
      <c r="AQ22" s="215"/>
      <c r="AR22" s="8">
        <f>Legacy!AR26</f>
        <v>-0.94068216737917187</v>
      </c>
      <c r="AS22" s="8">
        <f>Legacy!AS26</f>
        <v>-1.0078641613928483</v>
      </c>
      <c r="AT22" s="8">
        <f>Legacy!AT26</f>
        <v>-1.0675089940277054</v>
      </c>
      <c r="AU22" s="8">
        <f>Legacy!AU26</f>
        <v>-1.1289024817241022</v>
      </c>
      <c r="AV22" s="8">
        <f>Legacy!AV26</f>
        <v>-1.1969488803140593</v>
      </c>
    </row>
    <row r="23" spans="3:48" s="82" customFormat="1" ht="15">
      <c r="E23" s="346" t="s">
        <v>794</v>
      </c>
      <c r="G23" s="2" t="s">
        <v>304</v>
      </c>
      <c r="H23" s="82" t="s">
        <v>712</v>
      </c>
      <c r="AJ23" s="92"/>
      <c r="AK23" s="92"/>
      <c r="AL23" s="92"/>
      <c r="AM23" s="92"/>
      <c r="AN23" s="92"/>
      <c r="AO23" s="92"/>
      <c r="AP23" s="92"/>
      <c r="AQ23" s="215"/>
      <c r="AR23" s="8">
        <f>Legacy!AR33</f>
        <v>15.055752718568424</v>
      </c>
      <c r="AS23" s="8">
        <f>Legacy!AS33</f>
        <v>45.087761216473645</v>
      </c>
      <c r="AT23" s="8">
        <f>Legacy!AT33</f>
        <v>0</v>
      </c>
      <c r="AU23" s="8">
        <f>Legacy!AU33</f>
        <v>0</v>
      </c>
      <c r="AV23" s="8">
        <f>Legacy!AV33</f>
        <v>0</v>
      </c>
    </row>
    <row r="24" spans="3:48" s="82" customFormat="1" ht="15">
      <c r="E24" s="346" t="s">
        <v>717</v>
      </c>
      <c r="G24" s="2" t="s">
        <v>304</v>
      </c>
      <c r="H24" s="82" t="s">
        <v>720</v>
      </c>
      <c r="AJ24" s="92"/>
      <c r="AK24" s="92"/>
      <c r="AL24" s="92"/>
      <c r="AM24" s="92"/>
      <c r="AN24" s="92"/>
      <c r="AO24" s="92"/>
      <c r="AP24" s="92"/>
      <c r="AQ24" s="475"/>
      <c r="AR24" s="8">
        <f>Legacy!AR43</f>
        <v>-3.4488381277305424</v>
      </c>
      <c r="AS24" s="8">
        <f>Legacy!AS43</f>
        <v>0</v>
      </c>
      <c r="AT24" s="8">
        <f>Legacy!AT43</f>
        <v>0</v>
      </c>
      <c r="AU24" s="8">
        <f>Legacy!AU43</f>
        <v>0</v>
      </c>
      <c r="AV24" s="8">
        <f>Legacy!AV43</f>
        <v>0</v>
      </c>
    </row>
    <row r="25" spans="3:48" s="82" customFormat="1" ht="15">
      <c r="E25" s="346" t="s">
        <v>430</v>
      </c>
      <c r="G25" s="2" t="s">
        <v>304</v>
      </c>
      <c r="H25" s="82" t="s">
        <v>721</v>
      </c>
      <c r="AJ25" s="92"/>
      <c r="AK25" s="92"/>
      <c r="AL25" s="92"/>
      <c r="AM25" s="92"/>
      <c r="AN25" s="92"/>
      <c r="AO25" s="92"/>
      <c r="AP25" s="92"/>
      <c r="AQ25" s="475"/>
      <c r="AR25" s="8">
        <f>Legacy!AR48</f>
        <v>2.3961429999999999E-2</v>
      </c>
      <c r="AS25" s="8">
        <f>Legacy!AS48</f>
        <v>0</v>
      </c>
      <c r="AT25" s="8">
        <f>Legacy!AT48</f>
        <v>0</v>
      </c>
      <c r="AU25" s="8">
        <f>Legacy!AU48</f>
        <v>0</v>
      </c>
      <c r="AV25" s="8">
        <f>Legacy!AV48</f>
        <v>0</v>
      </c>
    </row>
    <row r="26" spans="3:48" s="82" customFormat="1" ht="15">
      <c r="E26" s="346" t="s">
        <v>435</v>
      </c>
      <c r="G26" s="2" t="s">
        <v>304</v>
      </c>
      <c r="H26" s="82" t="s">
        <v>1211</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440</v>
      </c>
      <c r="AJ27" s="92"/>
      <c r="AK27" s="92"/>
      <c r="AL27" s="92"/>
      <c r="AM27" s="92"/>
      <c r="AN27" s="92"/>
      <c r="AO27" s="92"/>
      <c r="AP27" s="92"/>
      <c r="AQ27" s="215"/>
      <c r="AR27" s="8"/>
      <c r="AS27" s="8"/>
      <c r="AT27" s="8"/>
      <c r="AU27" s="8"/>
      <c r="AV27" s="8"/>
    </row>
    <row r="28" spans="3:48" s="82" customFormat="1" ht="15">
      <c r="E28" s="346" t="s">
        <v>796</v>
      </c>
      <c r="F28"/>
      <c r="G28" s="2" t="s">
        <v>304</v>
      </c>
      <c r="H28" s="82" t="s">
        <v>797</v>
      </c>
      <c r="AJ28" s="92"/>
      <c r="AK28" s="92"/>
      <c r="AL28" s="92"/>
      <c r="AM28" s="92"/>
      <c r="AN28" s="92"/>
      <c r="AO28" s="92"/>
      <c r="AP28" s="92"/>
      <c r="AQ28" s="215"/>
      <c r="AR28" s="8">
        <f>Legacy!AR62</f>
        <v>3.1821889546497153</v>
      </c>
      <c r="AS28" s="8">
        <f>Legacy!AS62</f>
        <v>5.3630641647829487</v>
      </c>
      <c r="AT28" s="8">
        <f>Legacy!AT62</f>
        <v>0</v>
      </c>
      <c r="AU28" s="8">
        <f>Legacy!AU62</f>
        <v>0</v>
      </c>
      <c r="AV28" s="8">
        <f>Legacy!AV62</f>
        <v>0</v>
      </c>
    </row>
    <row r="29" spans="3:48" s="82" customFormat="1" ht="15">
      <c r="E29" s="346" t="s">
        <v>798</v>
      </c>
      <c r="F29"/>
      <c r="G29" s="2" t="s">
        <v>304</v>
      </c>
      <c r="H29" s="82" t="s">
        <v>799</v>
      </c>
      <c r="AJ29" s="92"/>
      <c r="AK29" s="92"/>
      <c r="AL29" s="92"/>
      <c r="AM29" s="92"/>
      <c r="AN29" s="92"/>
      <c r="AO29" s="92"/>
      <c r="AP29" s="92"/>
      <c r="AQ29" s="215"/>
      <c r="AR29" s="8">
        <f>Legacy!AR68</f>
        <v>21.569220220556701</v>
      </c>
      <c r="AS29" s="8">
        <f>Legacy!AS68</f>
        <v>20.828292447534761</v>
      </c>
      <c r="AT29" s="8">
        <f>Legacy!AT68</f>
        <v>0</v>
      </c>
      <c r="AU29" s="8">
        <f>Legacy!AU68</f>
        <v>0</v>
      </c>
      <c r="AV29" s="8">
        <f>Legacy!AV68</f>
        <v>0</v>
      </c>
    </row>
    <row r="30" spans="3:48" s="82" customFormat="1" ht="15">
      <c r="E30" s="346" t="s">
        <v>800</v>
      </c>
      <c r="F30"/>
      <c r="G30" s="2" t="s">
        <v>304</v>
      </c>
      <c r="H30" s="82" t="s">
        <v>801</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749</v>
      </c>
      <c r="F31"/>
      <c r="G31" s="2" t="s">
        <v>304</v>
      </c>
      <c r="H31" s="82" t="s">
        <v>802</v>
      </c>
      <c r="AJ31" s="92"/>
      <c r="AK31" s="92"/>
      <c r="AL31" s="92"/>
      <c r="AM31" s="92"/>
      <c r="AN31" s="92"/>
      <c r="AO31" s="92"/>
      <c r="AP31" s="92"/>
      <c r="AQ31" s="215"/>
      <c r="AR31" s="8">
        <f>Legacy!AR79</f>
        <v>1.5161063046635705</v>
      </c>
      <c r="AS31" s="8">
        <f>Legacy!AS79</f>
        <v>1.7225298865842447</v>
      </c>
      <c r="AT31" s="8">
        <f>Legacy!AT79</f>
        <v>0</v>
      </c>
      <c r="AU31" s="8">
        <f>Legacy!AU79</f>
        <v>0</v>
      </c>
      <c r="AV31" s="8">
        <f>Legacy!AV79</f>
        <v>0</v>
      </c>
    </row>
    <row r="32" spans="3:48" s="82" customFormat="1" ht="15">
      <c r="E32" s="259" t="s">
        <v>467</v>
      </c>
      <c r="H32" s="182"/>
      <c r="AJ32" s="92"/>
      <c r="AK32" s="92"/>
      <c r="AL32" s="92"/>
      <c r="AM32" s="92"/>
      <c r="AN32" s="92"/>
      <c r="AO32" s="92"/>
      <c r="AP32" s="92"/>
      <c r="AQ32" s="215"/>
      <c r="AR32" s="8"/>
      <c r="AS32" s="8"/>
      <c r="AT32" s="8"/>
      <c r="AU32" s="8"/>
      <c r="AV32" s="8"/>
    </row>
    <row r="33" spans="2:52" s="82" customFormat="1" ht="15">
      <c r="E33" s="346" t="s">
        <v>468</v>
      </c>
      <c r="G33" s="2" t="s">
        <v>304</v>
      </c>
      <c r="H33" s="82" t="s">
        <v>756</v>
      </c>
      <c r="AJ33" s="92"/>
      <c r="AK33" s="92"/>
      <c r="AL33" s="92"/>
      <c r="AM33" s="92"/>
      <c r="AN33" s="92"/>
      <c r="AO33" s="92"/>
      <c r="AP33" s="92"/>
      <c r="AQ33" s="215"/>
      <c r="AR33" s="8">
        <f>Legacy!AR85</f>
        <v>1.2522648426184633</v>
      </c>
      <c r="AS33" s="8">
        <f>Legacy!AS85</f>
        <v>1.0809203615537422</v>
      </c>
      <c r="AT33" s="8">
        <f>Legacy!AT85</f>
        <v>0</v>
      </c>
      <c r="AU33" s="8">
        <f>Legacy!AU85</f>
        <v>0</v>
      </c>
      <c r="AV33" s="8">
        <f>Legacy!AV85</f>
        <v>0</v>
      </c>
    </row>
    <row r="34" spans="2:52" s="82" customFormat="1" ht="15">
      <c r="E34" s="346" t="s">
        <v>473</v>
      </c>
      <c r="G34" s="2" t="s">
        <v>304</v>
      </c>
      <c r="H34" s="82" t="s">
        <v>759</v>
      </c>
      <c r="AJ34" s="92"/>
      <c r="AK34" s="92"/>
      <c r="AL34" s="92"/>
      <c r="AM34" s="92"/>
      <c r="AN34" s="92"/>
      <c r="AO34" s="92"/>
      <c r="AP34" s="92"/>
      <c r="AQ34" s="215"/>
      <c r="AR34" s="8">
        <f>Legacy!AR90</f>
        <v>-10.335005980804159</v>
      </c>
      <c r="AS34" s="8">
        <f>Legacy!AS90</f>
        <v>-15.175625062297629</v>
      </c>
      <c r="AT34" s="8">
        <f>Legacy!AT90</f>
        <v>0</v>
      </c>
      <c r="AU34" s="8">
        <f>Legacy!AU90</f>
        <v>0</v>
      </c>
      <c r="AV34" s="8">
        <f>Legacy!AV90</f>
        <v>0</v>
      </c>
    </row>
    <row r="35" spans="2:52" s="82" customFormat="1" ht="15">
      <c r="E35" s="346" t="s">
        <v>478</v>
      </c>
      <c r="G35" s="2" t="s">
        <v>304</v>
      </c>
      <c r="H35" s="82" t="s">
        <v>762</v>
      </c>
      <c r="AJ35" s="92"/>
      <c r="AK35" s="92"/>
      <c r="AL35" s="92"/>
      <c r="AM35" s="92"/>
      <c r="AN35" s="92"/>
      <c r="AO35" s="92"/>
      <c r="AP35" s="92"/>
      <c r="AQ35" s="215"/>
      <c r="AR35" s="8">
        <f>Legacy!AR95</f>
        <v>-14.054122623303202</v>
      </c>
      <c r="AS35" s="8">
        <f>Legacy!AS95</f>
        <v>-22.347089686777618</v>
      </c>
      <c r="AT35" s="8">
        <f>Legacy!AT95</f>
        <v>0</v>
      </c>
      <c r="AU35" s="8">
        <f>Legacy!AU95</f>
        <v>0</v>
      </c>
      <c r="AV35" s="8">
        <f>Legacy!AV95</f>
        <v>0</v>
      </c>
    </row>
    <row r="36" spans="2:52" s="82" customFormat="1" ht="15">
      <c r="E36" s="346" t="s">
        <v>483</v>
      </c>
      <c r="G36" s="2" t="s">
        <v>304</v>
      </c>
      <c r="H36" s="82" t="s">
        <v>765</v>
      </c>
      <c r="AJ36" s="92"/>
      <c r="AK36" s="92"/>
      <c r="AL36" s="92"/>
      <c r="AM36" s="92"/>
      <c r="AN36" s="92"/>
      <c r="AO36" s="92"/>
      <c r="AP36" s="92"/>
      <c r="AQ36" s="215"/>
      <c r="AR36" s="8">
        <f>Legacy!AR100</f>
        <v>3.2847550515420583</v>
      </c>
      <c r="AS36" s="8">
        <f>Legacy!AS100</f>
        <v>3.3361150371354618</v>
      </c>
      <c r="AT36" s="8">
        <f>Legacy!AT100</f>
        <v>0</v>
      </c>
      <c r="AU36" s="8">
        <f>Legacy!AU100</f>
        <v>0</v>
      </c>
      <c r="AV36" s="8">
        <f>Legacy!AV100</f>
        <v>0</v>
      </c>
    </row>
    <row r="37" spans="2:52" s="82" customFormat="1" ht="15">
      <c r="E37" s="346" t="s">
        <v>488</v>
      </c>
      <c r="G37" s="2" t="s">
        <v>304</v>
      </c>
      <c r="H37" s="82" t="s">
        <v>768</v>
      </c>
      <c r="AJ37" s="92"/>
      <c r="AK37" s="92"/>
      <c r="AL37" s="92"/>
      <c r="AM37" s="92"/>
      <c r="AN37" s="92"/>
      <c r="AO37" s="92"/>
      <c r="AP37" s="92"/>
      <c r="AQ37" s="215"/>
      <c r="AR37" s="8">
        <f>Legacy!AR105</f>
        <v>1.1164548540000891</v>
      </c>
      <c r="AS37" s="8">
        <f>Legacy!AS105</f>
        <v>2.0173530061236686</v>
      </c>
      <c r="AT37" s="8">
        <f>Legacy!AT105</f>
        <v>0</v>
      </c>
      <c r="AU37" s="8">
        <f>Legacy!AU105</f>
        <v>0</v>
      </c>
      <c r="AV37" s="8">
        <f>Legacy!AV105</f>
        <v>0</v>
      </c>
    </row>
    <row r="38" spans="2:52" s="82" customFormat="1" ht="15">
      <c r="E38" s="346" t="s">
        <v>804</v>
      </c>
      <c r="G38" s="2" t="s">
        <v>304</v>
      </c>
      <c r="H38" s="82" t="s">
        <v>771</v>
      </c>
      <c r="AJ38" s="92"/>
      <c r="AK38" s="92"/>
      <c r="AL38" s="92"/>
      <c r="AM38" s="92"/>
      <c r="AN38" s="92"/>
      <c r="AO38" s="92"/>
      <c r="AP38" s="92"/>
      <c r="AQ38" s="215"/>
      <c r="AR38" s="8">
        <f>Legacy!AR110</f>
        <v>0</v>
      </c>
      <c r="AS38" s="8">
        <f>Legacy!AS110</f>
        <v>0</v>
      </c>
      <c r="AT38" s="8">
        <f>Legacy!AT110</f>
        <v>0</v>
      </c>
      <c r="AU38" s="8">
        <f>Legacy!AU110</f>
        <v>0</v>
      </c>
      <c r="AV38" s="8">
        <f>Legacy!AV110</f>
        <v>0</v>
      </c>
    </row>
    <row r="39" spans="2:52" s="82" customFormat="1" ht="15">
      <c r="E39" s="346" t="s">
        <v>805</v>
      </c>
      <c r="G39" s="2" t="s">
        <v>304</v>
      </c>
      <c r="H39" s="82" t="s">
        <v>774</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503</v>
      </c>
      <c r="G40" s="2" t="s">
        <v>304</v>
      </c>
      <c r="H40" s="82" t="s">
        <v>777</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508</v>
      </c>
      <c r="G41" s="2" t="s">
        <v>304</v>
      </c>
      <c r="H41" s="82" t="s">
        <v>780</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806</v>
      </c>
      <c r="G42" s="2" t="s">
        <v>304</v>
      </c>
      <c r="H42" s="82" t="s">
        <v>1212</v>
      </c>
      <c r="AJ42" s="92"/>
      <c r="AK42" s="92"/>
      <c r="AL42" s="92"/>
      <c r="AM42" s="92"/>
      <c r="AN42" s="92"/>
      <c r="AO42" s="92"/>
      <c r="AP42" s="92"/>
      <c r="AQ42" s="215"/>
      <c r="AR42" s="8">
        <f>Legacy!AR130</f>
        <v>1.105752203125576</v>
      </c>
      <c r="AS42" s="8">
        <f>Legacy!AS130</f>
        <v>1.8551751888951173</v>
      </c>
      <c r="AT42" s="8">
        <f>Legacy!AT130</f>
        <v>0</v>
      </c>
      <c r="AU42" s="8">
        <f>Legacy!AU130</f>
        <v>0</v>
      </c>
      <c r="AV42" s="8">
        <f>Legacy!AV130</f>
        <v>0</v>
      </c>
    </row>
    <row r="43" spans="2:52" s="82" customFormat="1" ht="15">
      <c r="E43" s="346" t="s">
        <v>807</v>
      </c>
      <c r="G43" s="2" t="s">
        <v>304</v>
      </c>
      <c r="H43" s="82" t="s">
        <v>788</v>
      </c>
      <c r="AJ43" s="92"/>
      <c r="AK43" s="92"/>
      <c r="AL43" s="92"/>
      <c r="AM43" s="92"/>
      <c r="AN43" s="92"/>
      <c r="AO43" s="92"/>
      <c r="AP43" s="92"/>
      <c r="AQ43" s="215"/>
      <c r="AR43" s="8">
        <f>Legacy!AR135</f>
        <v>1.1506287792528189</v>
      </c>
      <c r="AS43" s="8">
        <f>Legacy!AS135</f>
        <v>4.1509199589862948</v>
      </c>
      <c r="AT43" s="8">
        <f>Legacy!AT135</f>
        <v>0.14460955983552809</v>
      </c>
      <c r="AU43" s="8">
        <f>Legacy!AU135</f>
        <v>0</v>
      </c>
      <c r="AV43" s="8">
        <f>Legacy!AV135</f>
        <v>0</v>
      </c>
    </row>
    <row r="44" spans="2:52" s="82" customFormat="1" ht="15">
      <c r="E44" s="346" t="s">
        <v>808</v>
      </c>
      <c r="G44" s="2" t="s">
        <v>304</v>
      </c>
      <c r="H44" s="82" t="s">
        <v>790</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1213</v>
      </c>
      <c r="G45" s="2" t="s">
        <v>304</v>
      </c>
      <c r="H45" s="82" t="s">
        <v>1214</v>
      </c>
      <c r="AJ45" s="92"/>
      <c r="AK45" s="92"/>
      <c r="AL45" s="92"/>
      <c r="AM45" s="92"/>
      <c r="AN45" s="92"/>
      <c r="AO45" s="92"/>
      <c r="AP45" s="92"/>
      <c r="AQ45" s="215"/>
      <c r="AR45" s="543">
        <f>SUM(AR22:AR44)</f>
        <v>20.478436459760349</v>
      </c>
      <c r="AS45" s="544">
        <f t="shared" ref="AS45:AV45" si="1">SUM(AS22:AS44)</f>
        <v>46.911552357601785</v>
      </c>
      <c r="AT45" s="544">
        <f t="shared" si="1"/>
        <v>-0.92289943419217724</v>
      </c>
      <c r="AU45" s="544">
        <f t="shared" si="1"/>
        <v>-1.1289024817241022</v>
      </c>
      <c r="AV45" s="544">
        <f t="shared" si="1"/>
        <v>-1.1969488803140593</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1147</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1205</v>
      </c>
      <c r="F49" s="34"/>
      <c r="G49" s="34" t="s">
        <v>304</v>
      </c>
      <c r="H49" s="159" t="s">
        <v>1215</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554.87319152065618</v>
      </c>
      <c r="AS49" s="35">
        <f>Revenue!AS22 * (AS17/$AO$17)</f>
        <v>570.49088700260825</v>
      </c>
      <c r="AT49" s="35">
        <f>Revenue!AT22 * (AT17/$AO$17)</f>
        <v>590.56442539417071</v>
      </c>
      <c r="AU49" s="35">
        <f>Revenue!AU22 * (AU17/$AO$17)</f>
        <v>592.01930469712636</v>
      </c>
      <c r="AV49" s="35">
        <f>Revenue!AV22 * (AV17/$AO$17)</f>
        <v>613.4095336930734</v>
      </c>
      <c r="AW49" s="34"/>
      <c r="AX49"/>
      <c r="AY49"/>
      <c r="AZ49"/>
    </row>
    <row r="50" spans="2:52" s="21" customFormat="1" ht="15">
      <c r="B50" s="34"/>
      <c r="C50" s="34"/>
      <c r="D50" s="34"/>
      <c r="E50" s="141" t="s">
        <v>1216</v>
      </c>
      <c r="F50"/>
      <c r="G50" s="21" t="s">
        <v>304</v>
      </c>
      <c r="H50" t="s">
        <v>1217</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11.294479348920991</v>
      </c>
      <c r="AS50" s="35">
        <f>AS69</f>
        <v>49.180016355874642</v>
      </c>
      <c r="AT50" s="35">
        <f>AT69</f>
        <v>79.138299716379848</v>
      </c>
      <c r="AU50" s="35">
        <f>AU69</f>
        <v>0</v>
      </c>
      <c r="AV50" s="35">
        <f>AV69</f>
        <v>0</v>
      </c>
      <c r="AW50" s="34"/>
      <c r="AX50"/>
      <c r="AY50"/>
      <c r="AZ50"/>
    </row>
    <row r="51" spans="2:52" s="21" customFormat="1" ht="15">
      <c r="B51" s="34"/>
      <c r="C51" s="34"/>
      <c r="D51" s="34"/>
      <c r="E51" s="35" t="s">
        <v>1218</v>
      </c>
      <c r="F51" s="35"/>
      <c r="G51" s="21" t="s">
        <v>304</v>
      </c>
      <c r="H51" s="35" t="s">
        <v>1219</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1213</v>
      </c>
      <c r="F52" s="159"/>
      <c r="G52" s="21" t="s">
        <v>304</v>
      </c>
      <c r="H52" s="159" t="s">
        <v>1220</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20.478436459760349</v>
      </c>
      <c r="AS52" s="35">
        <f t="shared" ref="AS52:AV52" si="3">AS45</f>
        <v>46.911552357601785</v>
      </c>
      <c r="AT52" s="35">
        <f t="shared" si="3"/>
        <v>-0.92289943419217724</v>
      </c>
      <c r="AU52" s="35">
        <f t="shared" si="3"/>
        <v>-1.1289024817241022</v>
      </c>
      <c r="AV52" s="35">
        <f t="shared" si="3"/>
        <v>-1.1969488803140593</v>
      </c>
      <c r="AW52" s="34"/>
      <c r="AX52"/>
      <c r="AY52"/>
      <c r="AZ52"/>
    </row>
    <row r="53" spans="2:52" s="21" customFormat="1" ht="15">
      <c r="B53" s="34"/>
      <c r="C53" s="34"/>
      <c r="D53" s="34"/>
      <c r="E53" s="34" t="s">
        <v>1147</v>
      </c>
      <c r="F53" s="34"/>
      <c r="G53" s="21" t="s">
        <v>304</v>
      </c>
      <c r="H53" s="34" t="s">
        <v>1221</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586.6461073293375</v>
      </c>
      <c r="AS53" s="546">
        <f t="shared" ref="AS53:AV53" si="4">SUM(AS49:AS52)</f>
        <v>666.58245571608461</v>
      </c>
      <c r="AT53" s="546">
        <f t="shared" si="4"/>
        <v>668.77982567635831</v>
      </c>
      <c r="AU53" s="546">
        <f t="shared" si="4"/>
        <v>590.89040221540222</v>
      </c>
      <c r="AV53" s="546">
        <f t="shared" si="4"/>
        <v>612.21258481275936</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1216</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1222</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546.11042786457949</v>
      </c>
      <c r="AR57" s="35"/>
      <c r="AS57" s="34"/>
      <c r="AT57" s="34"/>
      <c r="AU57" s="34"/>
      <c r="AV57" s="34"/>
      <c r="AW57" s="34"/>
      <c r="AX57"/>
      <c r="AY57"/>
      <c r="AZ57"/>
    </row>
    <row r="58" spans="2:52" s="21" customFormat="1" ht="15">
      <c r="B58" s="34"/>
      <c r="C58" s="34"/>
      <c r="D58" s="34"/>
      <c r="E58" s="34" t="s">
        <v>1223</v>
      </c>
      <c r="F58" s="34"/>
      <c r="G58" s="21" t="s">
        <v>304</v>
      </c>
      <c r="H58" s="34" t="s">
        <v>1224</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546.11042786457949</v>
      </c>
      <c r="AR58" s="35">
        <f>AR57 + AR53</f>
        <v>586.6461073293375</v>
      </c>
      <c r="AS58" s="34">
        <f t="shared" ref="AS58:AV58" si="6">AS57 + AS53</f>
        <v>666.58245571608461</v>
      </c>
      <c r="AT58" s="34">
        <f t="shared" si="6"/>
        <v>668.77982567635831</v>
      </c>
      <c r="AU58" s="34">
        <f t="shared" si="6"/>
        <v>590.89040221540222</v>
      </c>
      <c r="AV58" s="34">
        <f t="shared" si="6"/>
        <v>612.21258481275936</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1225</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InputSummary!AQ249</f>
        <v>535.9583433900001</v>
      </c>
      <c r="AR60" s="330">
        <f>InputSummary!AR249</f>
        <v>540.74432200000001</v>
      </c>
      <c r="AS60" s="81">
        <f>InputSummary!AS249</f>
        <v>591.86584300000004</v>
      </c>
      <c r="AT60" s="81">
        <f>InputSummary!AT249</f>
        <v>0</v>
      </c>
      <c r="AU60" s="81">
        <f>InputSummary!AU249</f>
        <v>0</v>
      </c>
      <c r="AV60" s="81">
        <f>InputSummary!AV249</f>
        <v>0</v>
      </c>
      <c r="AW60" s="34"/>
      <c r="AX60"/>
      <c r="AY60"/>
      <c r="AZ60"/>
    </row>
    <row r="61" spans="2:52" s="21" customFormat="1" ht="15">
      <c r="B61" s="34"/>
      <c r="C61" s="34"/>
      <c r="D61" s="34"/>
      <c r="E61" s="34" t="s">
        <v>1226</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668.77982567635831</v>
      </c>
      <c r="AU61" s="34">
        <f t="shared" si="7"/>
        <v>590.89040221540222</v>
      </c>
      <c r="AV61" s="34">
        <f t="shared" si="7"/>
        <v>612.21258481275936</v>
      </c>
      <c r="AW61" s="34"/>
      <c r="AX61"/>
      <c r="AY61"/>
      <c r="AZ61"/>
    </row>
    <row r="62" spans="2:52" s="21" customFormat="1" ht="15">
      <c r="B62" s="34"/>
      <c r="C62" s="34"/>
      <c r="D62" s="34"/>
      <c r="E62" s="34" t="s">
        <v>1227</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535.9583433900001</v>
      </c>
      <c r="AR62" s="35">
        <f t="shared" ref="AR62:AV62" si="8">AR60+AR61</f>
        <v>540.74432200000001</v>
      </c>
      <c r="AS62" s="35">
        <f t="shared" si="8"/>
        <v>591.86584300000004</v>
      </c>
      <c r="AT62" s="35">
        <f t="shared" si="8"/>
        <v>668.77982567635831</v>
      </c>
      <c r="AU62" s="35">
        <f t="shared" si="8"/>
        <v>590.89040221540222</v>
      </c>
      <c r="AV62" s="35">
        <f t="shared" si="8"/>
        <v>612.21258481275936</v>
      </c>
      <c r="AW62" s="34"/>
      <c r="AX62"/>
      <c r="AY62"/>
      <c r="AZ62"/>
    </row>
    <row r="63" spans="2:52" s="134" customFormat="1" ht="15">
      <c r="B63" s="77"/>
      <c r="C63" s="77"/>
      <c r="D63" s="77"/>
      <c r="E63" s="77" t="s">
        <v>1228</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10.152084474579397</v>
      </c>
      <c r="AR63" s="365">
        <f t="shared" si="9"/>
        <v>45.901785329337486</v>
      </c>
      <c r="AS63" s="365">
        <f t="shared" si="9"/>
        <v>74.716612716084569</v>
      </c>
      <c r="AT63" s="365">
        <f t="shared" si="9"/>
        <v>0</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1229</v>
      </c>
      <c r="F65" s="7"/>
      <c r="G65" s="7" t="s">
        <v>249</v>
      </c>
      <c r="H65" s="141" t="s">
        <v>600</v>
      </c>
      <c r="AJ65" s="8"/>
      <c r="AK65" s="8"/>
      <c r="AL65" s="8"/>
      <c r="AM65" s="8"/>
      <c r="AN65" s="8"/>
      <c r="AO65" s="8"/>
      <c r="AP65" s="8"/>
      <c r="AQ65" s="216">
        <f>InputSummary!AQ182</f>
        <v>3.0359999999999998E-2</v>
      </c>
      <c r="AR65" s="211">
        <f>InputSummary!AR182</f>
        <v>3.97335776E-2</v>
      </c>
      <c r="AS65" s="211">
        <f>InputSummary!AS182</f>
        <v>4.1370183200000001E-2</v>
      </c>
      <c r="AT65" s="211">
        <f>InputSummary!AT182</f>
        <v>4.1450170800000005E-2</v>
      </c>
      <c r="AU65" s="211">
        <f>InputSummary!AU182</f>
        <v>4.15681044E-2</v>
      </c>
      <c r="AV65" s="211">
        <f>InputSummary!AV182</f>
        <v>4.1755693600000005E-2</v>
      </c>
      <c r="AW65" s="8"/>
    </row>
    <row r="66" spans="1:52" ht="15">
      <c r="A66" s="21"/>
      <c r="E66" s="21" t="s">
        <v>1230</v>
      </c>
      <c r="F66" s="7"/>
      <c r="G66" s="7" t="s">
        <v>604</v>
      </c>
      <c r="H66" s="141" t="s">
        <v>1231</v>
      </c>
      <c r="AJ66" s="8"/>
      <c r="AK66" s="8"/>
      <c r="AL66" s="8"/>
      <c r="AM66" s="8"/>
      <c r="AN66" s="8"/>
      <c r="AO66" s="8"/>
      <c r="AP66" s="8"/>
      <c r="AQ66" s="227">
        <f t="shared" ref="AQ66:AV66" si="10">IF(AQ12=1,AR17/AQ17 - 1,"")</f>
        <v>7.9746990946746754E-2</v>
      </c>
      <c r="AR66" s="212">
        <f t="shared" si="10"/>
        <v>3.0473960302030534E-2</v>
      </c>
      <c r="AS66" s="212">
        <f t="shared" si="10"/>
        <v>1.7101750257816128E-2</v>
      </c>
      <c r="AT66" s="212">
        <f t="shared" si="10"/>
        <v>1.5421581354723823E-2</v>
      </c>
      <c r="AU66" s="212">
        <f t="shared" si="10"/>
        <v>1.7961851291584452E-2</v>
      </c>
      <c r="AV66" s="212" t="str">
        <f t="shared" si="10"/>
        <v/>
      </c>
      <c r="AW66" s="8"/>
    </row>
    <row r="67" spans="1:52" ht="15">
      <c r="A67" s="21"/>
      <c r="E67" s="21" t="s">
        <v>1232</v>
      </c>
      <c r="F67" s="21"/>
      <c r="G67" s="21" t="s">
        <v>1233</v>
      </c>
      <c r="H67" s="21" t="s">
        <v>1234</v>
      </c>
      <c r="AJ67" s="8"/>
      <c r="AK67" s="8"/>
      <c r="AL67" s="8"/>
      <c r="AM67" s="8"/>
      <c r="AN67" s="8"/>
      <c r="AO67" s="8"/>
      <c r="AP67" s="8"/>
      <c r="AQ67" s="547">
        <f t="shared" ref="AQ67:AV67" si="11">IF(AQ12=1,(1 + AQ65) * (1 + AQ66) - 1,"")</f>
        <v>0.11252810959188997</v>
      </c>
      <c r="AR67" s="548">
        <f t="shared" si="11"/>
        <v>7.1418377368470676E-2</v>
      </c>
      <c r="AS67" s="548">
        <f t="shared" si="11"/>
        <v>5.9179435999022534E-2</v>
      </c>
      <c r="AT67" s="548">
        <f t="shared" si="11"/>
        <v>5.7510979335883228E-2</v>
      </c>
      <c r="AU67" s="548">
        <f t="shared" si="11"/>
        <v>6.02765958012903E-2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1235</v>
      </c>
      <c r="F69" s="34"/>
      <c r="G69" s="21" t="s">
        <v>304</v>
      </c>
      <c r="H69" s="34" t="s">
        <v>1217</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11.294479348920991</v>
      </c>
      <c r="AS69" s="34">
        <f>(AR58 - AR62) * (1 + AR67)</f>
        <v>49.180016355874642</v>
      </c>
      <c r="AT69" s="34">
        <f>(AS58 - AS62) * (1 + AS67)</f>
        <v>79.138299716379848</v>
      </c>
      <c r="AU69" s="34">
        <f>(AT58 - AT62) * (1 + AT67)</f>
        <v>0</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1218</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1236</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1237</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5">
      <c r="B75" s="34"/>
      <c r="C75" s="34"/>
      <c r="D75" s="34"/>
      <c r="E75" s="34" t="s">
        <v>1238</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396.47054067507884</v>
      </c>
      <c r="AS75" s="34">
        <f>Revenue!AS12</f>
        <v>390.30478404897883</v>
      </c>
      <c r="AT75" s="34">
        <f>Revenue!AT12</f>
        <v>401.44586337161212</v>
      </c>
      <c r="AU75" s="34">
        <f>Revenue!AU12</f>
        <v>400.05347791063434</v>
      </c>
      <c r="AV75" s="34">
        <f>Revenue!AV12</f>
        <v>406.64410387078306</v>
      </c>
      <c r="AW75" s="34"/>
      <c r="AX75"/>
      <c r="AY75"/>
      <c r="AZ75"/>
    </row>
    <row r="76" spans="1:52" s="21" customFormat="1" ht="15">
      <c r="B76" s="34"/>
      <c r="C76" s="34"/>
      <c r="D76" s="34"/>
      <c r="E76" s="34" t="s">
        <v>1239</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396.47054067507884</v>
      </c>
      <c r="AS76" s="34">
        <f t="shared" ref="AS76:AV76" si="13">AS74 + AS75</f>
        <v>390.30478404897883</v>
      </c>
      <c r="AT76" s="34">
        <f t="shared" si="13"/>
        <v>401.44586337161212</v>
      </c>
      <c r="AU76" s="34">
        <f t="shared" si="13"/>
        <v>400.05347791063434</v>
      </c>
      <c r="AV76" s="34">
        <f t="shared" si="13"/>
        <v>406.64410387078306</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1240</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InputSummary!AQ251</f>
        <v>0</v>
      </c>
      <c r="AR78" s="330">
        <f>InputSummary!AR251</f>
        <v>0</v>
      </c>
      <c r="AS78" s="81">
        <f>InputSummary!AS251</f>
        <v>0</v>
      </c>
      <c r="AT78" s="81">
        <f>InputSummary!AT251</f>
        <v>401.44586337161212</v>
      </c>
      <c r="AU78" s="81">
        <f>InputSummary!AU251</f>
        <v>0</v>
      </c>
      <c r="AV78" s="81">
        <f>InputSummary!AV251</f>
        <v>0</v>
      </c>
      <c r="AW78" s="34"/>
      <c r="AX78"/>
      <c r="AY78"/>
      <c r="AZ78"/>
    </row>
    <row r="79" spans="1:52" s="21" customFormat="1" ht="15">
      <c r="B79" s="34"/>
      <c r="C79" s="34"/>
      <c r="D79" s="34"/>
      <c r="E79" s="34" t="s">
        <v>1241</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396.47054067507884</v>
      </c>
      <c r="AS79" s="35">
        <f t="shared" ref="AS79:AV79" si="16">IF(AS78 = 0, AS76, 0)</f>
        <v>390.30478404897883</v>
      </c>
      <c r="AT79" s="35">
        <f t="shared" si="16"/>
        <v>0</v>
      </c>
      <c r="AU79" s="35">
        <f t="shared" si="16"/>
        <v>400.05347791063434</v>
      </c>
      <c r="AV79" s="35">
        <f t="shared" si="16"/>
        <v>406.64410387078306</v>
      </c>
      <c r="AW79" s="34"/>
      <c r="AX79"/>
      <c r="AY79"/>
      <c r="AZ79"/>
    </row>
    <row r="80" spans="1:52" s="21" customFormat="1" ht="15">
      <c r="B80" s="34"/>
      <c r="C80" s="34"/>
      <c r="D80" s="34"/>
      <c r="E80" s="34" t="s">
        <v>308</v>
      </c>
      <c r="F80" s="34"/>
      <c r="G80" s="2" t="s">
        <v>105</v>
      </c>
      <c r="H80" s="34" t="s">
        <v>1242</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396.47054067507884</v>
      </c>
      <c r="AS80" s="35">
        <f t="shared" ref="AS80:AV80" si="18">AS78+AS79</f>
        <v>390.30478404897883</v>
      </c>
      <c r="AT80" s="35">
        <f t="shared" si="18"/>
        <v>401.44586337161212</v>
      </c>
      <c r="AU80" s="35">
        <f t="shared" si="18"/>
        <v>400.05347791063434</v>
      </c>
      <c r="AV80" s="35">
        <f t="shared" si="18"/>
        <v>406.64410387078306</v>
      </c>
      <c r="AW80" s="34"/>
      <c r="AX80"/>
      <c r="AY80"/>
      <c r="AZ80"/>
    </row>
    <row r="81" spans="2:52" s="134" customFormat="1" ht="15">
      <c r="B81" s="77"/>
      <c r="C81" s="77"/>
      <c r="D81" s="77"/>
      <c r="E81" s="77" t="s">
        <v>1243</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319</v>
      </c>
      <c r="F85" s="21"/>
      <c r="G85" s="21" t="s">
        <v>209</v>
      </c>
      <c r="H85" s="21"/>
      <c r="I85" s="370">
        <f>InputSummary!I256</f>
        <v>0.06</v>
      </c>
      <c r="AQ85" s="369"/>
      <c r="AR85" s="143"/>
      <c r="AS85" s="143"/>
      <c r="AT85" s="143"/>
      <c r="AU85" s="143"/>
      <c r="AV85" s="143"/>
    </row>
    <row r="86" spans="2:52" s="21" customFormat="1" ht="15">
      <c r="B86" s="34"/>
      <c r="C86" s="34"/>
      <c r="D86" s="34"/>
      <c r="E86" s="34" t="s">
        <v>1243</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5">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1244</v>
      </c>
      <c r="F89" s="367"/>
      <c r="G89" s="34" t="s">
        <v>304</v>
      </c>
      <c r="H89" s="367" t="s">
        <v>1245</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1246</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1247</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InputSummary!AQ250</f>
        <v>0</v>
      </c>
      <c r="AR92" s="330">
        <f>InputSummary!AR250</f>
        <v>0</v>
      </c>
      <c r="AS92" s="330">
        <f>InputSummary!AS250</f>
        <v>0</v>
      </c>
      <c r="AT92" s="330">
        <f>InputSummary!AT250</f>
        <v>668.77982567635831</v>
      </c>
      <c r="AU92" s="330">
        <f>InputSummary!AU250</f>
        <v>0</v>
      </c>
      <c r="AV92" s="330">
        <f>InputSummary!AV250</f>
        <v>0</v>
      </c>
      <c r="AW92" s="34"/>
      <c r="AX92"/>
      <c r="AY92"/>
      <c r="AZ92"/>
    </row>
    <row r="93" spans="2:52" s="21" customFormat="1" ht="15">
      <c r="B93" s="34"/>
      <c r="C93" s="34"/>
      <c r="D93" s="34"/>
      <c r="E93" s="34" t="s">
        <v>1248</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546.11042786457949</v>
      </c>
      <c r="AR93" s="35">
        <f t="shared" si="24"/>
        <v>586.6461073293375</v>
      </c>
      <c r="AS93" s="35">
        <f t="shared" si="24"/>
        <v>666.58245571608461</v>
      </c>
      <c r="AT93" s="35">
        <f t="shared" si="24"/>
        <v>0</v>
      </c>
      <c r="AU93" s="35">
        <f t="shared" si="24"/>
        <v>590.89040221540222</v>
      </c>
      <c r="AV93" s="35">
        <f t="shared" si="24"/>
        <v>612.21258481275936</v>
      </c>
      <c r="AW93" s="34"/>
      <c r="AX93"/>
      <c r="AY93"/>
      <c r="AZ93"/>
    </row>
    <row r="94" spans="2:52" s="21" customFormat="1" ht="15">
      <c r="B94" s="34"/>
      <c r="C94" s="34"/>
      <c r="D94" s="34"/>
      <c r="E94" s="34" t="s">
        <v>306</v>
      </c>
      <c r="F94" s="34"/>
      <c r="G94" s="34" t="s">
        <v>304</v>
      </c>
      <c r="H94" s="34" t="s">
        <v>1249</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546.11042786457949</v>
      </c>
      <c r="AR94" s="35">
        <f t="shared" ref="AR94:AV94" si="25">AR92+AR93</f>
        <v>586.6461073293375</v>
      </c>
      <c r="AS94" s="35">
        <f t="shared" si="25"/>
        <v>666.58245571608461</v>
      </c>
      <c r="AT94" s="35">
        <f t="shared" si="25"/>
        <v>668.77982567635831</v>
      </c>
      <c r="AU94" s="35">
        <f t="shared" si="25"/>
        <v>590.89040221540222</v>
      </c>
      <c r="AV94" s="35">
        <f t="shared" si="25"/>
        <v>612.21258481275936</v>
      </c>
      <c r="AW94" s="34"/>
      <c r="AX94"/>
      <c r="AY94"/>
      <c r="AZ94"/>
    </row>
    <row r="95" spans="2:52" s="134" customFormat="1" ht="15">
      <c r="B95" s="77"/>
      <c r="C95" s="77"/>
      <c r="D95" s="77"/>
      <c r="E95" s="77" t="s">
        <v>1250</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-10.152084474579397</v>
      </c>
      <c r="AR95" s="365">
        <f t="shared" si="26"/>
        <v>-45.901785329337486</v>
      </c>
      <c r="AS95" s="365">
        <f t="shared" si="26"/>
        <v>-74.716612716084569</v>
      </c>
      <c r="AT95" s="365">
        <f t="shared" si="26"/>
        <v>0</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319</v>
      </c>
      <c r="F99" s="21"/>
      <c r="G99" s="21" t="s">
        <v>209</v>
      </c>
      <c r="H99" s="21"/>
      <c r="I99" s="370">
        <f>InputSummary!I256</f>
        <v>0.06</v>
      </c>
      <c r="AQ99" s="369"/>
      <c r="AR99" s="143"/>
      <c r="AS99" s="143"/>
      <c r="AT99" s="143"/>
      <c r="AU99" s="143"/>
      <c r="AV99" s="143"/>
    </row>
    <row r="100" spans="1:52" s="21" customFormat="1" ht="15">
      <c r="B100" s="34"/>
      <c r="C100" s="34"/>
      <c r="D100" s="34"/>
      <c r="E100" s="34" t="s">
        <v>1251</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1.0189419282296572</v>
      </c>
      <c r="AR100" s="368">
        <f t="shared" ref="AR100:AV100" si="27">IFERROR(AR94/AR62,0)</f>
        <v>1.084886301088775</v>
      </c>
      <c r="AS100" s="368">
        <f t="shared" si="27"/>
        <v>1.126239102323201</v>
      </c>
      <c r="AT100" s="368">
        <f t="shared" si="27"/>
        <v>1</v>
      </c>
      <c r="AU100" s="368">
        <f t="shared" si="27"/>
        <v>1</v>
      </c>
      <c r="AV100" s="368">
        <f t="shared" si="27"/>
        <v>1</v>
      </c>
      <c r="AW100" s="34"/>
      <c r="AX100"/>
      <c r="AY100"/>
      <c r="AZ100"/>
    </row>
    <row r="101" spans="1:52" s="21" customFormat="1" ht="15">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1252</v>
      </c>
      <c r="F103" s="367"/>
      <c r="G103" s="34" t="s">
        <v>304</v>
      </c>
      <c r="H103" s="367" t="s">
        <v>1253</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1254</v>
      </c>
      <c r="F105" s="367"/>
      <c r="G105" s="367"/>
      <c r="H105" s="367" t="s">
        <v>1219</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377" priority="5" operator="equal">
      <formula>FALSE()</formula>
    </cfRule>
  </conditionalFormatting>
  <conditionalFormatting sqref="AM2">
    <cfRule type="expression" dxfId="376" priority="1">
      <formula>mac_sensitivity=2</formula>
    </cfRule>
    <cfRule type="expression" dxfId="375" priority="2">
      <formula>mac_sensitivity=1</formula>
    </cfRule>
  </conditionalFormatting>
  <conditionalFormatting sqref="AM3">
    <cfRule type="expression" dxfId="37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D13" zoomScale="85" zoomScaleNormal="85" workbookViewId="0">
      <selection activeCell="AO29" sqref="AO29"/>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customWidth="1" outlineLevel="1"/>
    <col min="36" max="48" width="9.625" customWidth="1"/>
    <col min="49" max="49" width="3" customWidth="1"/>
    <col min="50" max="54" width="0" hidden="1" customWidth="1"/>
    <col min="55" max="16384" width="9" hidden="1"/>
  </cols>
  <sheetData>
    <row r="1" spans="1:49" ht="19.5">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ENWL</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1255</v>
      </c>
      <c r="F6" s="2"/>
      <c r="G6" s="2" t="s">
        <v>1256</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1257</v>
      </c>
      <c r="F8" s="2"/>
      <c r="G8" s="2" t="s">
        <v>1256</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1258</v>
      </c>
      <c r="F9" s="2"/>
      <c r="G9" s="2" t="s">
        <v>1259</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1260</v>
      </c>
      <c r="F11" s="2"/>
      <c r="G11" s="2" t="s">
        <v>1259</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1261</v>
      </c>
      <c r="F12" s="2"/>
      <c r="G12" s="2" t="s">
        <v>1262</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1263</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547</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1264</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1265</v>
      </c>
      <c r="F21" s="2"/>
      <c r="G21" s="2" t="s">
        <v>868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FORECAST</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1266</v>
      </c>
      <c r="F23" s="2"/>
      <c r="G23" s="2" t="s">
        <v>540</v>
      </c>
      <c r="H23" s="2" t="s">
        <v>1267</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381.95897726676139</v>
      </c>
      <c r="AS23" s="252">
        <f>IFERROR(AVERAGEIFS('Monthly Inflation'!$M:$M,'Monthly Inflation'!$E:$E,"&gt;="&amp;DATE(AS$6 - 1, $I11, $I12),'Monthly Inflation'!$E:$E,"&lt;="&amp;DATE(AS$6, $I11 - 1, $I12)),"")</f>
        <v>398.45378776422496</v>
      </c>
      <c r="AT23" s="252">
        <f>IFERROR(AVERAGEIFS('Monthly Inflation'!$M:$M,'Monthly Inflation'!$E:$E,"&gt;="&amp;DATE(AT$6 - 1, $I11, $I12),'Monthly Inflation'!$E:$E,"&lt;="&amp;DATE(AT$6, $I11 - 1, $I12)),"")</f>
        <v>408.90659996278873</v>
      </c>
      <c r="AU23" s="252">
        <f>IFERROR(AVERAGEIFS('Monthly Inflation'!$M:$M,'Monthly Inflation'!$E:$E,"&gt;="&amp;DATE(AU$6 - 1, $I11, $I12),'Monthly Inflation'!$E:$E,"&lt;="&amp;DATE(AU$6, $I11 - 1, $I12)),"")</f>
        <v>419.5608531153016</v>
      </c>
      <c r="AV23" s="252">
        <f>IFERROR(AVERAGEIFS('Monthly Inflation'!$M:$M,'Monthly Inflation'!$E:$E,"&gt;="&amp;DATE(AV$6 - 1, $I11, $I12),'Monthly Inflation'!$E:$E,"&lt;="&amp;DATE(AV$6, $I11 - 1, $I12)),"")</f>
        <v>431.36994090971933</v>
      </c>
      <c r="AW23" s="2"/>
    </row>
    <row r="24" spans="1:49" ht="15">
      <c r="A24" s="2"/>
      <c r="B24" s="2"/>
      <c r="C24" s="2"/>
      <c r="D24" s="2"/>
      <c r="E24" s="2" t="s">
        <v>1268</v>
      </c>
      <c r="F24" s="2"/>
      <c r="G24" s="2" t="s">
        <v>604</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2.814630513484162E-2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1269</v>
      </c>
      <c r="F26" s="2"/>
      <c r="G26" s="2" t="s">
        <v>540</v>
      </c>
      <c r="H26" s="2" t="s">
        <v>1270</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130.73147692954706</v>
      </c>
      <c r="AS26" s="252">
        <f>IFERROR(AVERAGEIFS('Monthly Inflation'!$L:$L,'Monthly Inflation'!$E:$E,"&gt;="&amp;DATE(AS$6-1,$I11, $I12),'Monthly Inflation'!$E:$E,"&lt;="&amp;DATE(AS$6,$I11-1,$I12)),"")</f>
        <v>134.71538276772398</v>
      </c>
      <c r="AT26" s="252">
        <f>IFERROR(AVERAGEIFS('Monthly Inflation'!$L:$L,'Monthly Inflation'!$E:$E,"&gt;="&amp;DATE(AT$6-1,$I11, $I12),'Monthly Inflation'!$E:$E,"&lt;="&amp;DATE(AT$6,$I11-1,$I12)),"")</f>
        <v>137.01925159970372</v>
      </c>
      <c r="AU26" s="252">
        <f>IFERROR(AVERAGEIFS('Monthly Inflation'!$L:$L,'Monthly Inflation'!$E:$E,"&gt;="&amp;DATE(AU$6-1,$I11, $I12),'Monthly Inflation'!$E:$E,"&lt;="&amp;DATE(AU$6,$I11-1,$I12)),"")</f>
        <v>139.13230513541188</v>
      </c>
      <c r="AV26" s="252">
        <f>IFERROR(AVERAGEIFS('Monthly Inflation'!$L:$L,'Monthly Inflation'!$E:$E,"&gt;="&amp;DATE(AV$6-1,$I11, $I12),'Monthly Inflation'!$E:$E,"&lt;="&amp;DATE(AV$6,$I11-1,$I12)),"")</f>
        <v>141.63137891010953</v>
      </c>
      <c r="AW26" s="2"/>
    </row>
    <row r="27" spans="1:49" ht="15">
      <c r="A27" s="2"/>
      <c r="B27" s="2"/>
      <c r="C27" s="2"/>
      <c r="D27" s="2"/>
      <c r="E27" s="2" t="s">
        <v>1271</v>
      </c>
      <c r="F27" s="2"/>
      <c r="G27" s="2" t="s">
        <v>604</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1.7961851291584674E-2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1272</v>
      </c>
      <c r="F29" s="2"/>
      <c r="G29" s="2" t="s">
        <v>540</v>
      </c>
      <c r="H29" s="2" t="s">
        <v>1209</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379.22513900367994</v>
      </c>
      <c r="AS29" s="252">
        <f>IFERROR(AVERAGEIFS('Monthly Inflation'!$N:$N,'Monthly Inflation'!$E:$E,"&gt;="&amp;DATE(AS$6-1, $I11, $I12),'Monthly Inflation'!$E:$E,"&lt;="&amp;DATE(AS$6, $I11 - 1, $I12)),"")</f>
        <v>390.78163083521014</v>
      </c>
      <c r="AT29" s="252">
        <f>IFERROR(AVERAGEIFS('Monthly Inflation'!$N:$N,'Monthly Inflation'!$E:$E,"&gt;="&amp;DATE(AT$6-1, $I11, $I12),'Monthly Inflation'!$E:$E,"&lt;="&amp;DATE(AT$6, $I11 - 1, $I12)),"")</f>
        <v>397.46468069109602</v>
      </c>
      <c r="AU29" s="252">
        <f>IFERROR(AVERAGEIFS('Monthly Inflation'!$N:$N,'Monthly Inflation'!$E:$E,"&gt;="&amp;DATE(AU$6-1, $I11, $I12),'Monthly Inflation'!$E:$E,"&lt;="&amp;DATE(AU$6, $I11 - 1, $I12)),"")</f>
        <v>403.59421460000311</v>
      </c>
      <c r="AV29" s="252">
        <f>IFERROR(AVERAGEIFS('Monthly Inflation'!$N:$N,'Monthly Inflation'!$E:$E,"&gt;="&amp;DATE(AV$6-1, $I11, $I12),'Monthly Inflation'!$E:$E,"&lt;="&amp;DATE(AV$6, $I11 - 1, $I12)),"")</f>
        <v>410.84351386479216</v>
      </c>
      <c r="AW29" s="2"/>
    </row>
    <row r="30" spans="1:49" ht="15">
      <c r="A30" s="2"/>
      <c r="B30" s="2"/>
      <c r="C30" s="2"/>
      <c r="D30" s="2"/>
      <c r="E30" s="2" t="s">
        <v>1273</v>
      </c>
      <c r="F30" s="2"/>
      <c r="G30" s="2" t="s">
        <v>604</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1.7961851291584452E-2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1.2891506141768156</v>
      </c>
      <c r="AS32" s="253">
        <f t="shared" si="6"/>
        <v>1.3284361388165782</v>
      </c>
      <c r="AT32" s="253">
        <f t="shared" si="6"/>
        <v>1.3511547218960771</v>
      </c>
      <c r="AU32" s="253">
        <f t="shared" si="6"/>
        <v>1.3719916643626167</v>
      </c>
      <c r="AV32" s="253">
        <f t="shared" si="6"/>
        <v>1.3966351746111914</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1274</v>
      </c>
      <c r="F34" s="2"/>
      <c r="G34" s="2" t="s">
        <v>604</v>
      </c>
      <c r="H34" s="2" t="s">
        <v>1275</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1276</v>
      </c>
      <c r="F35" s="2"/>
      <c r="G35" s="2" t="s">
        <v>604</v>
      </c>
      <c r="H35" s="2" t="s">
        <v>1277</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3">
        <v>0.02</v>
      </c>
      <c r="AS35" s="553">
        <v>0.02</v>
      </c>
      <c r="AT35" s="553">
        <v>0.02</v>
      </c>
      <c r="AU35" s="553">
        <v>0.02</v>
      </c>
      <c r="AV35" s="553">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1278</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1279</v>
      </c>
      <c r="F39" s="2"/>
      <c r="G39" s="2" t="s">
        <v>868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FORECAST</v>
      </c>
      <c r="AT39" s="251" t="str">
        <f t="shared" si="8"/>
        <v>FORECAST</v>
      </c>
      <c r="AU39" s="251" t="str">
        <f t="shared" si="8"/>
        <v>FORECAST</v>
      </c>
      <c r="AV39" s="251" t="str">
        <f t="shared" si="8"/>
        <v>FORECAST</v>
      </c>
      <c r="AW39" s="2"/>
    </row>
    <row r="40" spans="1:49" ht="15">
      <c r="A40" s="2"/>
      <c r="B40" s="2"/>
      <c r="C40" s="2"/>
      <c r="D40" s="2"/>
      <c r="E40" s="7" t="s">
        <v>1280</v>
      </c>
      <c r="F40" s="2"/>
      <c r="G40" s="2" t="s">
        <v>540</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386.05521369596647</v>
      </c>
      <c r="AT40" s="206">
        <f>IFERROR(AVERAGEIFS('Monthly Inflation'!$N:$N,'Monthly Inflation'!$E:$E,"&gt;="&amp;DATE(AT$6 - 1, $I11 - 1, $I12),'Monthly Inflation'!$E:$E,"&lt;="&amp;DATE(AT$6 - 1, $I11, $I12)),"")</f>
        <v>394.3772720003775</v>
      </c>
      <c r="AU40" s="206">
        <f>IFERROR(AVERAGEIFS('Monthly Inflation'!$N:$N,'Monthly Inflation'!$E:$E,"&gt;="&amp;DATE(AU$6 - 1, $I11 - 1, $I12),'Monthly Inflation'!$E:$E,"&lt;="&amp;DATE(AU$6 - 1, $I11, $I12)),"")</f>
        <v>400.3528760091906</v>
      </c>
      <c r="AV40" s="206">
        <f>IFERROR(AVERAGEIFS('Monthly Inflation'!$N:$N,'Monthly Inflation'!$E:$E,"&gt;="&amp;DATE(AV$6 - 1, $I11 - 1, $I12),'Monthly Inflation'!$E:$E,"&lt;="&amp;DATE(AV$6 - 1, $I11, $I12)),"")</f>
        <v>407.04134692098194</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1281</v>
      </c>
      <c r="F42" s="2"/>
      <c r="G42" s="2" t="s">
        <v>868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FORECAST</v>
      </c>
      <c r="AS42" s="251" t="str">
        <f t="shared" si="10"/>
        <v>FORECAST</v>
      </c>
      <c r="AT42" s="251" t="str">
        <f t="shared" si="10"/>
        <v>FORECAST</v>
      </c>
      <c r="AU42" s="251" t="str">
        <f t="shared" si="10"/>
        <v>FORECAST</v>
      </c>
      <c r="AV42" s="251" t="str">
        <f t="shared" si="10"/>
        <v>FORECAST</v>
      </c>
      <c r="AW42" s="2"/>
    </row>
    <row r="43" spans="1:49" ht="15">
      <c r="A43" s="2"/>
      <c r="B43" s="2"/>
      <c r="C43" s="2"/>
      <c r="D43" s="2"/>
      <c r="E43" s="7" t="s">
        <v>0</v>
      </c>
      <c r="F43" s="2"/>
      <c r="G43" s="2" t="s">
        <v>540</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386.05521369596647</v>
      </c>
      <c r="AS43" s="206">
        <f>IFERROR(AVERAGEIFS('Monthly Inflation'!$N:$N,'Monthly Inflation'!$E:$E,"&gt;="&amp;DATE(AS$6,$I11 - 1, $I12),'Monthly Inflation'!$E:$E,"&lt;="&amp;DATE(AS$6, $I11, $I12)),"")</f>
        <v>394.3772720003775</v>
      </c>
      <c r="AT43" s="206">
        <f>IFERROR(AVERAGEIFS('Monthly Inflation'!$N:$N,'Monthly Inflation'!$E:$E,"&gt;="&amp;DATE(AT$6,$I11 - 1, $I12),'Monthly Inflation'!$E:$E,"&lt;="&amp;DATE(AT$6, $I11, $I12)),"")</f>
        <v>400.3528760091906</v>
      </c>
      <c r="AU43" s="206">
        <f>IFERROR(AVERAGEIFS('Monthly Inflation'!$N:$N,'Monthly Inflation'!$E:$E,"&gt;="&amp;DATE(AU$6,$I11 - 1, $I12),'Monthly Inflation'!$E:$E,"&lt;="&amp;DATE(AU$6, $I11, $I12)),"")</f>
        <v>407.04134692098194</v>
      </c>
      <c r="AV43" s="206">
        <f>IFERROR(AVERAGEIFS('Monthly Inflation'!$N:$N,'Monthly Inflation'!$E:$E,"&gt;="&amp;DATE(AV$6,$I11 - 1, $I12),'Monthly Inflation'!$E:$E,"&lt;="&amp;DATE(AV$6, $I11, $I12)),"")</f>
        <v>414.48992277418103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1282</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1.3123689983998859</v>
      </c>
      <c r="AT45" s="256">
        <f t="shared" si="11"/>
        <v>1.3406592815876854</v>
      </c>
      <c r="AU45" s="256">
        <f t="shared" si="11"/>
        <v>1.3609729496063137</v>
      </c>
      <c r="AV45" s="256">
        <f t="shared" si="11"/>
        <v>1.383709961204471</v>
      </c>
      <c r="AW45" s="2"/>
    </row>
    <row r="46" spans="1:49" ht="15">
      <c r="A46" s="2"/>
      <c r="B46" s="2"/>
      <c r="C46" s="2"/>
      <c r="D46" s="2"/>
      <c r="E46" s="7" t="s">
        <v>1283</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1.3123689983998859</v>
      </c>
      <c r="AS46" s="256">
        <f t="shared" si="12"/>
        <v>1.3406592815876854</v>
      </c>
      <c r="AT46" s="256">
        <f t="shared" si="12"/>
        <v>1.3609729496063137</v>
      </c>
      <c r="AU46" s="256">
        <f t="shared" si="12"/>
        <v>1.383709961204471</v>
      </c>
      <c r="AV46" s="256">
        <f t="shared" si="12"/>
        <v>1.4090308989490572</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1284</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1285</v>
      </c>
      <c r="F50" s="2"/>
      <c r="G50" s="2" t="s">
        <v>100</v>
      </c>
      <c r="H50" s="2" t="s">
        <v>1286</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551">
        <v>10.007381931931292</v>
      </c>
      <c r="AR50" s="552">
        <v>5.1192952208696019</v>
      </c>
      <c r="AS50" s="552">
        <v>2.5996271122782799</v>
      </c>
      <c r="AT50" s="552">
        <v>2.5121856232399598</v>
      </c>
      <c r="AU50" s="552">
        <v>2.8036598929437329</v>
      </c>
      <c r="AV50" s="552">
        <v>2.8576541255967536</v>
      </c>
      <c r="AW50" s="2"/>
    </row>
    <row r="51" spans="1:49" ht="15">
      <c r="A51" s="2"/>
      <c r="B51" s="2"/>
      <c r="C51" s="2"/>
      <c r="D51" s="2"/>
      <c r="E51" s="7" t="s">
        <v>1287</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0.11190370052654952</v>
      </c>
      <c r="AR51" s="291">
        <f t="shared" si="13"/>
        <v>8.7853602541658693E-2</v>
      </c>
      <c r="AS51" s="291">
        <f t="shared" si="13"/>
        <v>4.4893781937217714E-2</v>
      </c>
      <c r="AT51" s="291">
        <f t="shared" si="13"/>
        <v>2.5777667400186999E-2</v>
      </c>
      <c r="AU51" s="291">
        <f t="shared" si="13"/>
        <v>2.585054190665903E-2</v>
      </c>
      <c r="AV51" s="291">
        <f t="shared" si="13"/>
        <v>2.817158451106988E-2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1288</v>
      </c>
      <c r="F53" s="2"/>
      <c r="G53" s="2" t="s">
        <v>100</v>
      </c>
      <c r="H53" s="2" t="s">
        <v>1289</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551">
        <v>7.4553979567326234</v>
      </c>
      <c r="AR53" s="552">
        <v>3.6114247777982333</v>
      </c>
      <c r="AS53" s="552">
        <v>1.7760878895190846</v>
      </c>
      <c r="AT53" s="552">
        <v>1.446667906451915</v>
      </c>
      <c r="AU53" s="552">
        <v>1.7296573062324683</v>
      </c>
      <c r="AV53" s="552">
        <v>1.960504241247718</v>
      </c>
      <c r="AW53" s="2"/>
    </row>
    <row r="54" spans="1:49" ht="15">
      <c r="A54" s="2"/>
      <c r="B54" s="2"/>
      <c r="C54" s="2"/>
      <c r="D54" s="2"/>
      <c r="E54" s="7" t="s">
        <v>1290</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8.6639086552110833E-2</v>
      </c>
      <c r="AR54" s="291">
        <f t="shared" si="14"/>
        <v>6.4944046619990259E-2</v>
      </c>
      <c r="AS54" s="291">
        <f t="shared" si="14"/>
        <v>3.1525905557284462E-2</v>
      </c>
      <c r="AT54" s="291">
        <f t="shared" si="14"/>
        <v>1.6937328937522922E-2</v>
      </c>
      <c r="AU54" s="291">
        <f t="shared" si="14"/>
        <v>1.5174152563970533E-2</v>
      </c>
      <c r="AV54" s="291">
        <f t="shared" si="14"/>
        <v>1.7873690399862807E-2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373" priority="21" operator="equal">
      <formula>"FORECAST"</formula>
    </cfRule>
  </conditionalFormatting>
  <conditionalFormatting sqref="K23:T26">
    <cfRule type="expression" dxfId="372" priority="20">
      <formula>K$21 = "FORECAST"</formula>
    </cfRule>
  </conditionalFormatting>
  <conditionalFormatting sqref="K23:AV24">
    <cfRule type="expression" dxfId="371" priority="17">
      <formula>K$21 = "FORECAST"</formula>
    </cfRule>
    <cfRule type="cellIs" dxfId="370" priority="18" operator="equal">
      <formula>"FORECAST"</formula>
    </cfRule>
  </conditionalFormatting>
  <conditionalFormatting sqref="K26:AV30">
    <cfRule type="expression" dxfId="369" priority="5">
      <formula>K$21 = "FORECAST"</formula>
    </cfRule>
  </conditionalFormatting>
  <conditionalFormatting sqref="K27:AV27">
    <cfRule type="cellIs" dxfId="368" priority="12" operator="equal">
      <formula>"FORECAST"</formula>
    </cfRule>
  </conditionalFormatting>
  <conditionalFormatting sqref="K30:AV30">
    <cfRule type="cellIs" dxfId="367" priority="6" operator="equal">
      <formula>"FORECAST"</formula>
    </cfRule>
  </conditionalFormatting>
  <conditionalFormatting sqref="K32:AV32">
    <cfRule type="expression" dxfId="366" priority="19">
      <formula>K$21 = "FORECAST"</formula>
    </cfRule>
  </conditionalFormatting>
  <conditionalFormatting sqref="K39:AV39">
    <cfRule type="cellIs" dxfId="365" priority="1" operator="equal">
      <formula>"FORECAST"</formula>
    </cfRule>
  </conditionalFormatting>
  <conditionalFormatting sqref="K40:AV41">
    <cfRule type="expression" dxfId="364" priority="4">
      <formula>K$39 = "FORECAST"</formula>
    </cfRule>
  </conditionalFormatting>
  <conditionalFormatting sqref="K42:AV46">
    <cfRule type="cellIs" dxfId="363" priority="3" operator="equal">
      <formula>"FORECAST"</formula>
    </cfRule>
  </conditionalFormatting>
  <conditionalFormatting sqref="K43:AV46">
    <cfRule type="expression" dxfId="362" priority="2">
      <formula>K$42 = "FORECAST"</formula>
    </cfRule>
  </conditionalFormatting>
  <conditionalFormatting sqref="U27:V27 X27:AV27">
    <cfRule type="expression" dxfId="361" priority="15">
      <formula>U$21 = "FORECAST"</formula>
    </cfRule>
  </conditionalFormatting>
  <conditionalFormatting sqref="U30:V30 X30:AV30">
    <cfRule type="expression" dxfId="360" priority="9">
      <formula>U$21 = "FORECAST"</formula>
    </cfRule>
  </conditionalFormatting>
  <conditionalFormatting sqref="U21:AV23 U24:V24 X24:AV24 U25:AV25">
    <cfRule type="cellIs" dxfId="359" priority="24" operator="equal">
      <formula>"FORECAST"</formula>
    </cfRule>
  </conditionalFormatting>
  <conditionalFormatting sqref="U23:AV23 U24:V24 X24:AV24 U25:AV26 U28:AV29">
    <cfRule type="expression" dxfId="358"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86" zoomScale="85" zoomScaleNormal="85" workbookViewId="0">
      <selection activeCell="K295" sqref="K295"/>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74</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1291</v>
      </c>
      <c r="I3" s="478" t="s">
        <v>1292</v>
      </c>
      <c r="J3" s="179"/>
      <c r="K3" s="179"/>
      <c r="L3" s="247"/>
      <c r="M3" s="247"/>
      <c r="N3" s="247"/>
    </row>
    <row r="4" spans="1:14" ht="30">
      <c r="A4" s="181"/>
      <c r="B4" s="181"/>
      <c r="C4" s="181"/>
      <c r="D4" s="181"/>
      <c r="E4" s="324" t="s">
        <v>1293</v>
      </c>
      <c r="F4" s="325" t="s">
        <v>1294</v>
      </c>
      <c r="G4" s="324" t="s">
        <v>1295</v>
      </c>
      <c r="H4" s="326" t="s">
        <v>1296</v>
      </c>
      <c r="I4" s="326" t="s">
        <v>1297</v>
      </c>
      <c r="J4" s="326" t="s">
        <v>1298</v>
      </c>
      <c r="K4" s="326" t="s">
        <v>1299</v>
      </c>
      <c r="L4" s="327" t="s">
        <v>1300</v>
      </c>
      <c r="M4" s="327" t="s">
        <v>1301</v>
      </c>
      <c r="N4" s="327" t="s">
        <v>1302</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7.4553979567326234E-2</v>
      </c>
      <c r="K284" s="257">
        <f>IF($E284&lt;DATE(2018,7,1),"-",INDEX('Annual Inflation'!$AM$50:$BA$50, MATCH(YEAR(EOMONTH($E284,6)), 'Annual Inflation'!$AM$6:$BA$6, 0))/100)</f>
        <v>0.10007381931931292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7.4553979567326234E-2</v>
      </c>
      <c r="K285" s="257">
        <f>IF($E285&lt;DATE(2018,7,1),"-",INDEX('Annual Inflation'!$AM$50:$BA$50, MATCH(YEAR(EOMONTH($E285,6)), 'Annual Inflation'!$AM$6:$BA$6, 0))/100)</f>
        <v>0.10007381931931292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7.4553979567326234E-2</v>
      </c>
      <c r="K286" s="257">
        <f>IF($E286&lt;DATE(2018,7,1),"-",INDEX('Annual Inflation'!$AM$50:$BA$50, MATCH(YEAR(EOMONTH($E286,6)), 'Annual Inflation'!$AM$6:$BA$6, 0))/100)</f>
        <v>0.10007381931931292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7.4553979567326234E-2</v>
      </c>
      <c r="K287" s="257">
        <f>IF($E287&lt;DATE(2018,7,1),"-",INDEX('Annual Inflation'!$AM$50:$BA$50, MATCH(YEAR(EOMONTH($E287,6)), 'Annual Inflation'!$AM$6:$BA$6, 0))/100)</f>
        <v>0.10007381931931292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7.4553979567326234E-2</v>
      </c>
      <c r="K288" s="257">
        <f>IF($E288&lt;DATE(2018,7,1),"-",INDEX('Annual Inflation'!$AM$50:$BA$50, MATCH(YEAR(EOMONTH($E288,6)), 'Annual Inflation'!$AM$6:$BA$6, 0))/100)</f>
        <v>0.10007381931931292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7.4553979567326234E-2</v>
      </c>
      <c r="K289" s="257">
        <f>IF($E289&lt;DATE(2018,7,1),"-",INDEX('Annual Inflation'!$AM$50:$BA$50, MATCH(YEAR(EOMONTH($E289,6)), 'Annual Inflation'!$AM$6:$BA$6, 0))/100)</f>
        <v>0.10007381931931292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7.4553979567326234E-2</v>
      </c>
      <c r="K290" s="257">
        <f>IF($E290&lt;DATE(2018,7,1),"-",INDEX('Annual Inflation'!$AM$50:$BA$50, MATCH(YEAR(EOMONTH($E290,6)), 'Annual Inflation'!$AM$6:$BA$6, 0))/100)</f>
        <v>0.10007381931931292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7.4553979567326234E-2</v>
      </c>
      <c r="K291" s="257">
        <f>IF($E291&lt;DATE(2018,7,1),"-",INDEX('Annual Inflation'!$AM$50:$BA$50, MATCH(YEAR(EOMONTH($E291,6)), 'Annual Inflation'!$AM$6:$BA$6, 0))/100)</f>
        <v>0.10007381931931292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7.4553979567326234E-2</v>
      </c>
      <c r="K292" s="257">
        <f>IF($E292&lt;DATE(2018,7,1),"-",INDEX('Annual Inflation'!$AM$50:$BA$50, MATCH(YEAR(EOMONTH($E292,6)), 'Annual Inflation'!$AM$6:$BA$6, 0))/100)</f>
        <v>0.10007381931931292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7.4553979567326234E-2</v>
      </c>
      <c r="K293" s="257">
        <f>IF($E293&lt;DATE(2018,7,1),"-",INDEX('Annual Inflation'!$AM$50:$BA$50, MATCH(YEAR(EOMONTH($E293,6)), 'Annual Inflation'!$AM$6:$BA$6, 0))/100)</f>
        <v>0.10007381931931292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7.4553979567326234E-2</v>
      </c>
      <c r="K294" s="257">
        <f>IF($E294&lt;DATE(2018,7,1),"-",INDEX('Annual Inflation'!$AM$50:$BA$50, MATCH(YEAR(EOMONTH($E294,6)), 'Annual Inflation'!$AM$6:$BA$6, 0))/100)</f>
        <v>0.10007381931931292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7.4553979567326234E-2</v>
      </c>
      <c r="K295" s="257">
        <f>IF($E295&lt;DATE(2018,7,1),"-",INDEX('Annual Inflation'!$AM$50:$BA$50, MATCH(YEAR(EOMONTH($E295,6)), 'Annual Inflation'!$AM$6:$BA$6, 0))/100)</f>
        <v>0.10007381931931292</v>
      </c>
      <c r="L295" s="258">
        <f t="shared" si="22"/>
        <v>129.4</v>
      </c>
      <c r="M295" s="258">
        <f t="shared" si="23"/>
        <v>376.4</v>
      </c>
      <c r="N295" s="258">
        <f t="shared" si="24"/>
        <v>375.36279815397182</v>
      </c>
    </row>
    <row r="296" spans="5:14" ht="15">
      <c r="E296" s="248">
        <v>45108</v>
      </c>
      <c r="F296" s="323">
        <f t="shared" si="20"/>
        <v>45138</v>
      </c>
      <c r="G296" s="159">
        <f t="shared" si="21"/>
        <v>2024</v>
      </c>
      <c r="H296" s="500"/>
      <c r="I296" s="500"/>
      <c r="J296" s="257">
        <f>IF($E296&lt;DATE(2018,7,1),"-",INDEX('Annual Inflation'!$AM$53:$BA$53, MATCH(YEAR(EOMONTH($E296,6)), 'Annual Inflation'!$AM$6:$BA$6, 0))/100)</f>
        <v>3.6114247777982333E-2</v>
      </c>
      <c r="K296" s="257">
        <f>IF($E296&lt;DATE(2018,7,1),"-",INDEX('Annual Inflation'!$AM$50:$BA$50, MATCH(YEAR(EOMONTH($E296,6)), 'Annual Inflation'!$AM$6:$BA$6, 0))/100)</f>
        <v>5.1192952208696019E-2</v>
      </c>
      <c r="L296" s="258">
        <f t="shared" si="22"/>
        <v>129.7831308723359</v>
      </c>
      <c r="M296" s="258">
        <f t="shared" si="23"/>
        <v>377.96926384280891</v>
      </c>
      <c r="N296" s="258">
        <f t="shared" si="24"/>
        <v>376.47418205118333</v>
      </c>
    </row>
    <row r="297" spans="5:14" ht="15">
      <c r="E297" s="248">
        <v>45139</v>
      </c>
      <c r="F297" s="323">
        <f t="shared" si="20"/>
        <v>45169</v>
      </c>
      <c r="G297" s="159">
        <f t="shared" si="21"/>
        <v>2024</v>
      </c>
      <c r="H297" s="500"/>
      <c r="I297" s="500"/>
      <c r="J297" s="257">
        <f>IF($E297&lt;DATE(2018,7,1),"-",INDEX('Annual Inflation'!$AM$53:$BA$53, MATCH(YEAR(EOMONTH($E297,6)), 'Annual Inflation'!$AM$6:$BA$6, 0))/100)</f>
        <v>3.6114247777982333E-2</v>
      </c>
      <c r="K297" s="257">
        <f>IF($E297&lt;DATE(2018,7,1),"-",INDEX('Annual Inflation'!$AM$50:$BA$50, MATCH(YEAR(EOMONTH($E297,6)), 'Annual Inflation'!$AM$6:$BA$6, 0))/100)</f>
        <v>5.1192952208696019E-2</v>
      </c>
      <c r="L297" s="258">
        <f t="shared" si="22"/>
        <v>130.16739612848428</v>
      </c>
      <c r="M297" s="258">
        <f t="shared" si="23"/>
        <v>379.54507016438606</v>
      </c>
      <c r="N297" s="258">
        <f t="shared" si="24"/>
        <v>377.5888565626301</v>
      </c>
    </row>
    <row r="298" spans="5:14" ht="15">
      <c r="E298" s="248">
        <v>45170</v>
      </c>
      <c r="F298" s="323">
        <f t="shared" si="20"/>
        <v>45199</v>
      </c>
      <c r="G298" s="159">
        <f t="shared" si="21"/>
        <v>2024</v>
      </c>
      <c r="H298" s="500"/>
      <c r="I298" s="500"/>
      <c r="J298" s="257">
        <f>IF($E298&lt;DATE(2018,7,1),"-",INDEX('Annual Inflation'!$AM$53:$BA$53, MATCH(YEAR(EOMONTH($E298,6)), 'Annual Inflation'!$AM$6:$BA$6, 0))/100)</f>
        <v>3.6114247777982333E-2</v>
      </c>
      <c r="K298" s="257">
        <f>IF($E298&lt;DATE(2018,7,1),"-",INDEX('Annual Inflation'!$AM$50:$BA$50, MATCH(YEAR(EOMONTH($E298,6)), 'Annual Inflation'!$AM$6:$BA$6, 0))/100)</f>
        <v>5.1192952208696019E-2</v>
      </c>
      <c r="L298" s="258">
        <f t="shared" si="22"/>
        <v>130.55279912715815</v>
      </c>
      <c r="M298" s="258">
        <f t="shared" si="23"/>
        <v>381.12744624123343</v>
      </c>
      <c r="N298" s="258">
        <f t="shared" si="24"/>
        <v>378.70683143124796</v>
      </c>
    </row>
    <row r="299" spans="5:14" ht="15">
      <c r="E299" s="248">
        <v>45200</v>
      </c>
      <c r="F299" s="323">
        <f t="shared" si="20"/>
        <v>45230</v>
      </c>
      <c r="G299" s="159">
        <f t="shared" si="21"/>
        <v>2024</v>
      </c>
      <c r="H299" s="500"/>
      <c r="I299" s="500"/>
      <c r="J299" s="257">
        <f>IF($E299&lt;DATE(2018,7,1),"-",INDEX('Annual Inflation'!$AM$53:$BA$53, MATCH(YEAR(EOMONTH($E299,6)), 'Annual Inflation'!$AM$6:$BA$6, 0))/100)</f>
        <v>3.6114247777982333E-2</v>
      </c>
      <c r="K299" s="257">
        <f>IF($E299&lt;DATE(2018,7,1),"-",INDEX('Annual Inflation'!$AM$50:$BA$50, MATCH(YEAR(EOMONTH($E299,6)), 'Annual Inflation'!$AM$6:$BA$6, 0))/100)</f>
        <v>5.1192952208696019E-2</v>
      </c>
      <c r="L299" s="258">
        <f t="shared" si="22"/>
        <v>130.93934323701504</v>
      </c>
      <c r="M299" s="258">
        <f t="shared" si="23"/>
        <v>382.71641946357261</v>
      </c>
      <c r="N299" s="258">
        <f t="shared" si="24"/>
        <v>379.82811642881995</v>
      </c>
    </row>
    <row r="300" spans="5:14" ht="15">
      <c r="E300" s="248">
        <v>45231</v>
      </c>
      <c r="F300" s="323">
        <f t="shared" si="20"/>
        <v>45260</v>
      </c>
      <c r="G300" s="159">
        <f t="shared" si="21"/>
        <v>2024</v>
      </c>
      <c r="H300" s="500"/>
      <c r="I300" s="500"/>
      <c r="J300" s="257">
        <f>IF($E300&lt;DATE(2018,7,1),"-",INDEX('Annual Inflation'!$AM$53:$BA$53, MATCH(YEAR(EOMONTH($E300,6)), 'Annual Inflation'!$AM$6:$BA$6, 0))/100)</f>
        <v>3.6114247777982333E-2</v>
      </c>
      <c r="K300" s="257">
        <f>IF($E300&lt;DATE(2018,7,1),"-",INDEX('Annual Inflation'!$AM$50:$BA$50, MATCH(YEAR(EOMONTH($E300,6)), 'Annual Inflation'!$AM$6:$BA$6, 0))/100)</f>
        <v>5.1192952208696019E-2</v>
      </c>
      <c r="L300" s="258">
        <f t="shared" si="22"/>
        <v>131.3270318366865</v>
      </c>
      <c r="M300" s="258">
        <f t="shared" si="23"/>
        <v>384.31201733581884</v>
      </c>
      <c r="N300" s="258">
        <f t="shared" si="24"/>
        <v>380.9527213560616</v>
      </c>
    </row>
    <row r="301" spans="5:14" ht="15">
      <c r="E301" s="248">
        <v>45261</v>
      </c>
      <c r="F301" s="323">
        <f t="shared" si="20"/>
        <v>45291</v>
      </c>
      <c r="G301" s="159">
        <f t="shared" si="21"/>
        <v>2024</v>
      </c>
      <c r="H301" s="500"/>
      <c r="I301" s="500"/>
      <c r="J301" s="257">
        <f>IF($E301&lt;DATE(2018,7,1),"-",INDEX('Annual Inflation'!$AM$53:$BA$53, MATCH(YEAR(EOMONTH($E301,6)), 'Annual Inflation'!$AM$6:$BA$6, 0))/100)</f>
        <v>3.6114247777982333E-2</v>
      </c>
      <c r="K301" s="257">
        <f>IF($E301&lt;DATE(2018,7,1),"-",INDEX('Annual Inflation'!$AM$50:$BA$50, MATCH(YEAR(EOMONTH($E301,6)), 'Annual Inflation'!$AM$6:$BA$6, 0))/100)</f>
        <v>5.1192952208696019E-2</v>
      </c>
      <c r="L301" s="258">
        <f t="shared" si="22"/>
        <v>131.71586831480761</v>
      </c>
      <c r="M301" s="258">
        <f t="shared" si="23"/>
        <v>385.91426747705702</v>
      </c>
      <c r="N301" s="258">
        <f t="shared" si="24"/>
        <v>382.08065604270672</v>
      </c>
    </row>
    <row r="302" spans="5:14" ht="15">
      <c r="E302" s="248">
        <v>45292</v>
      </c>
      <c r="F302" s="323">
        <f t="shared" si="20"/>
        <v>45322</v>
      </c>
      <c r="G302" s="159">
        <f t="shared" si="21"/>
        <v>2024</v>
      </c>
      <c r="H302" s="500"/>
      <c r="I302" s="500"/>
      <c r="J302" s="257">
        <f>IF($E302&lt;DATE(2018,7,1),"-",INDEX('Annual Inflation'!$AM$53:$BA$53, MATCH(YEAR(EOMONTH($E302,6)), 'Annual Inflation'!$AM$6:$BA$6, 0))/100)</f>
        <v>3.6114247777982333E-2</v>
      </c>
      <c r="K302" s="257">
        <f>IF($E302&lt;DATE(2018,7,1),"-",INDEX('Annual Inflation'!$AM$50:$BA$50, MATCH(YEAR(EOMONTH($E302,6)), 'Annual Inflation'!$AM$6:$BA$6, 0))/100)</f>
        <v>5.1192952208696019E-2</v>
      </c>
      <c r="L302" s="258">
        <f t="shared" si="22"/>
        <v>132.10585607004666</v>
      </c>
      <c r="M302" s="258">
        <f t="shared" si="23"/>
        <v>387.52319762151996</v>
      </c>
      <c r="N302" s="258">
        <f t="shared" si="24"/>
        <v>383.21193034759318</v>
      </c>
    </row>
    <row r="303" spans="5:14" ht="15">
      <c r="E303" s="248">
        <v>45323</v>
      </c>
      <c r="F303" s="323">
        <f t="shared" si="20"/>
        <v>45351</v>
      </c>
      <c r="G303" s="159">
        <f t="shared" si="21"/>
        <v>2024</v>
      </c>
      <c r="H303" s="500"/>
      <c r="I303" s="500"/>
      <c r="J303" s="257">
        <f>IF($E303&lt;DATE(2018,7,1),"-",INDEX('Annual Inflation'!$AM$53:$BA$53, MATCH(YEAR(EOMONTH($E303,6)), 'Annual Inflation'!$AM$6:$BA$6, 0))/100)</f>
        <v>3.6114247777982333E-2</v>
      </c>
      <c r="K303" s="257">
        <f>IF($E303&lt;DATE(2018,7,1),"-",INDEX('Annual Inflation'!$AM$50:$BA$50, MATCH(YEAR(EOMONTH($E303,6)), 'Annual Inflation'!$AM$6:$BA$6, 0))/100)</f>
        <v>5.1192952208696019E-2</v>
      </c>
      <c r="L303" s="258">
        <f t="shared" si="22"/>
        <v>132.49699851113473</v>
      </c>
      <c r="M303" s="258">
        <f t="shared" si="23"/>
        <v>389.13883561906817</v>
      </c>
      <c r="N303" s="258">
        <f t="shared" si="24"/>
        <v>384.3465541587492</v>
      </c>
    </row>
    <row r="304" spans="5:14" ht="15">
      <c r="E304" s="248">
        <v>45352</v>
      </c>
      <c r="F304" s="323">
        <f t="shared" si="20"/>
        <v>45382</v>
      </c>
      <c r="G304" s="159">
        <f t="shared" si="21"/>
        <v>2024</v>
      </c>
      <c r="H304" s="500"/>
      <c r="I304" s="500"/>
      <c r="J304" s="257">
        <f>IF($E304&lt;DATE(2018,7,1),"-",INDEX('Annual Inflation'!$AM$53:$BA$53, MATCH(YEAR(EOMONTH($E304,6)), 'Annual Inflation'!$AM$6:$BA$6, 0))/100)</f>
        <v>3.6114247777982333E-2</v>
      </c>
      <c r="K304" s="257">
        <f>IF($E304&lt;DATE(2018,7,1),"-",INDEX('Annual Inflation'!$AM$50:$BA$50, MATCH(YEAR(EOMONTH($E304,6)), 'Annual Inflation'!$AM$6:$BA$6, 0))/100)</f>
        <v>5.1192952208696019E-2</v>
      </c>
      <c r="L304" s="258">
        <f t="shared" si="22"/>
        <v>132.88929905689562</v>
      </c>
      <c r="M304" s="258">
        <f t="shared" si="23"/>
        <v>390.76120943567224</v>
      </c>
      <c r="N304" s="258">
        <f t="shared" si="24"/>
        <v>385.48453739347974</v>
      </c>
    </row>
    <row r="305" spans="5:14" ht="15">
      <c r="E305" s="248">
        <v>45383</v>
      </c>
      <c r="F305" s="323">
        <f t="shared" si="20"/>
        <v>45412</v>
      </c>
      <c r="G305" s="159">
        <f t="shared" si="21"/>
        <v>2025</v>
      </c>
      <c r="H305" s="500"/>
      <c r="I305" s="500"/>
      <c r="J305" s="257">
        <f>IF($E305&lt;DATE(2018,7,1),"-",INDEX('Annual Inflation'!$AM$53:$BA$53, MATCH(YEAR(EOMONTH($E305,6)), 'Annual Inflation'!$AM$6:$BA$6, 0))/100)</f>
        <v>3.6114247777982333E-2</v>
      </c>
      <c r="K305" s="257">
        <f>IF($E305&lt;DATE(2018,7,1),"-",INDEX('Annual Inflation'!$AM$50:$BA$50, MATCH(YEAR(EOMONTH($E305,6)), 'Annual Inflation'!$AM$6:$BA$6, 0))/100)</f>
        <v>5.1192952208696019E-2</v>
      </c>
      <c r="L305" s="258">
        <f t="shared" si="22"/>
        <v>133.28276113627564</v>
      </c>
      <c r="M305" s="258">
        <f t="shared" si="23"/>
        <v>392.3903471538967</v>
      </c>
      <c r="N305" s="258">
        <f t="shared" si="24"/>
        <v>386.62588999845315</v>
      </c>
    </row>
    <row r="306" spans="5:14" ht="15">
      <c r="E306" s="248">
        <v>45413</v>
      </c>
      <c r="F306" s="323">
        <f t="shared" si="20"/>
        <v>45443</v>
      </c>
      <c r="G306" s="159">
        <f t="shared" si="21"/>
        <v>2025</v>
      </c>
      <c r="H306" s="500"/>
      <c r="I306" s="500"/>
      <c r="J306" s="257">
        <f>IF($E306&lt;DATE(2018,7,1),"-",INDEX('Annual Inflation'!$AM$53:$BA$53, MATCH(YEAR(EOMONTH($E306,6)), 'Annual Inflation'!$AM$6:$BA$6, 0))/100)</f>
        <v>3.6114247777982333E-2</v>
      </c>
      <c r="K306" s="257">
        <f>IF($E306&lt;DATE(2018,7,1),"-",INDEX('Annual Inflation'!$AM$50:$BA$50, MATCH(YEAR(EOMONTH($E306,6)), 'Annual Inflation'!$AM$6:$BA$6, 0))/100)</f>
        <v>5.1192952208696019E-2</v>
      </c>
      <c r="L306" s="258">
        <f t="shared" si="22"/>
        <v>133.67738818837361</v>
      </c>
      <c r="M306" s="258">
        <f t="shared" si="23"/>
        <v>394.02627697338619</v>
      </c>
      <c r="N306" s="258">
        <f t="shared" si="24"/>
        <v>387.77062194978811</v>
      </c>
    </row>
    <row r="307" spans="5:14" ht="15">
      <c r="E307" s="248">
        <v>45444</v>
      </c>
      <c r="F307" s="323">
        <f t="shared" si="20"/>
        <v>45473</v>
      </c>
      <c r="G307" s="159">
        <f t="shared" si="21"/>
        <v>2025</v>
      </c>
      <c r="H307" s="500"/>
      <c r="I307" s="500"/>
      <c r="J307" s="257">
        <f>IF($E307&lt;DATE(2018,7,1),"-",INDEX('Annual Inflation'!$AM$53:$BA$53, MATCH(YEAR(EOMONTH($E307,6)), 'Annual Inflation'!$AM$6:$BA$6, 0))/100)</f>
        <v>3.6114247777982333E-2</v>
      </c>
      <c r="K307" s="257">
        <f>IF($E307&lt;DATE(2018,7,1),"-",INDEX('Annual Inflation'!$AM$50:$BA$50, MATCH(YEAR(EOMONTH($E307,6)), 'Annual Inflation'!$AM$6:$BA$6, 0))/100)</f>
        <v>5.1192952208696019E-2</v>
      </c>
      <c r="L307" s="258">
        <f t="shared" si="22"/>
        <v>134.07318366247094</v>
      </c>
      <c r="M307" s="258">
        <f t="shared" si="23"/>
        <v>395.66902721135364</v>
      </c>
      <c r="N307" s="258">
        <f t="shared" si="24"/>
        <v>388.91874325314092</v>
      </c>
    </row>
    <row r="308" spans="5:14" ht="15">
      <c r="E308" s="248">
        <v>45474</v>
      </c>
      <c r="F308" s="323">
        <f t="shared" si="20"/>
        <v>45504</v>
      </c>
      <c r="G308" s="159">
        <f t="shared" si="21"/>
        <v>2025</v>
      </c>
      <c r="H308" s="500"/>
      <c r="I308" s="500"/>
      <c r="J308" s="257">
        <f>IF($E308&lt;DATE(2018,7,1),"-",INDEX('Annual Inflation'!$AM$53:$BA$53, MATCH(YEAR(EOMONTH($E308,6)), 'Annual Inflation'!$AM$6:$BA$6, 0))/100)</f>
        <v>1.7760878895190846E-2</v>
      </c>
      <c r="K308" s="257">
        <f>IF($E308&lt;DATE(2018,7,1),"-",INDEX('Annual Inflation'!$AM$50:$BA$50, MATCH(YEAR(EOMONTH($E308,6)), 'Annual Inflation'!$AM$6:$BA$6, 0))/100)</f>
        <v>2.5996271122782799E-2</v>
      </c>
      <c r="L308" s="258">
        <f t="shared" si="22"/>
        <v>134.27002452345565</v>
      </c>
      <c r="M308" s="258">
        <f t="shared" si="23"/>
        <v>396.51614060328797</v>
      </c>
      <c r="N308" s="258">
        <f t="shared" si="24"/>
        <v>389.48973812462668</v>
      </c>
    </row>
    <row r="309" spans="5:14" ht="15">
      <c r="E309" s="248">
        <v>45505</v>
      </c>
      <c r="F309" s="323">
        <f t="shared" si="20"/>
        <v>45535</v>
      </c>
      <c r="G309" s="159">
        <f t="shared" si="21"/>
        <v>2025</v>
      </c>
      <c r="H309" s="500"/>
      <c r="I309" s="500"/>
      <c r="J309" s="257">
        <f>IF($E309&lt;DATE(2018,7,1),"-",INDEX('Annual Inflation'!$AM$53:$BA$53, MATCH(YEAR(EOMONTH($E309,6)), 'Annual Inflation'!$AM$6:$BA$6, 0))/100)</f>
        <v>1.7760878895190846E-2</v>
      </c>
      <c r="K309" s="257">
        <f>IF($E309&lt;DATE(2018,7,1),"-",INDEX('Annual Inflation'!$AM$50:$BA$50, MATCH(YEAR(EOMONTH($E309,6)), 'Annual Inflation'!$AM$6:$BA$6, 0))/100)</f>
        <v>2.5996271122782799E-2</v>
      </c>
      <c r="L309" s="258">
        <f t="shared" si="22"/>
        <v>134.46715437828308</v>
      </c>
      <c r="M309" s="258">
        <f t="shared" si="23"/>
        <v>397.36506763503093</v>
      </c>
      <c r="N309" s="258">
        <f t="shared" si="24"/>
        <v>390.0615713078393</v>
      </c>
    </row>
    <row r="310" spans="5:14" ht="15">
      <c r="E310" s="248">
        <v>45536</v>
      </c>
      <c r="F310" s="323">
        <f t="shared" si="20"/>
        <v>45565</v>
      </c>
      <c r="G310" s="159">
        <f t="shared" si="21"/>
        <v>2025</v>
      </c>
      <c r="H310" s="500"/>
      <c r="I310" s="500"/>
      <c r="J310" s="257">
        <f>IF($E310&lt;DATE(2018,7,1),"-",INDEX('Annual Inflation'!$AM$53:$BA$53, MATCH(YEAR(EOMONTH($E310,6)), 'Annual Inflation'!$AM$6:$BA$6, 0))/100)</f>
        <v>1.7760878895190846E-2</v>
      </c>
      <c r="K310" s="257">
        <f>IF($E310&lt;DATE(2018,7,1),"-",INDEX('Annual Inflation'!$AM$50:$BA$50, MATCH(YEAR(EOMONTH($E310,6)), 'Annual Inflation'!$AM$6:$BA$6, 0))/100)</f>
        <v>2.5996271122782799E-2</v>
      </c>
      <c r="L310" s="258">
        <f t="shared" si="22"/>
        <v>134.66457365124239</v>
      </c>
      <c r="M310" s="258">
        <f t="shared" si="23"/>
        <v>398.21581218952116</v>
      </c>
      <c r="N310" s="258">
        <f t="shared" si="24"/>
        <v>390.63424403355435</v>
      </c>
    </row>
    <row r="311" spans="5:14" ht="15">
      <c r="E311" s="248">
        <v>45566</v>
      </c>
      <c r="F311" s="323">
        <f t="shared" si="20"/>
        <v>45596</v>
      </c>
      <c r="G311" s="159">
        <f t="shared" si="21"/>
        <v>2025</v>
      </c>
      <c r="H311" s="500"/>
      <c r="I311" s="500"/>
      <c r="J311" s="257">
        <f>IF($E311&lt;DATE(2018,7,1),"-",INDEX('Annual Inflation'!$AM$53:$BA$53, MATCH(YEAR(EOMONTH($E311,6)), 'Annual Inflation'!$AM$6:$BA$6, 0))/100)</f>
        <v>1.7760878895190846E-2</v>
      </c>
      <c r="K311" s="257">
        <f>IF($E311&lt;DATE(2018,7,1),"-",INDEX('Annual Inflation'!$AM$50:$BA$50, MATCH(YEAR(EOMONTH($E311,6)), 'Annual Inflation'!$AM$6:$BA$6, 0))/100)</f>
        <v>2.5996271122782799E-2</v>
      </c>
      <c r="L311" s="258">
        <f t="shared" si="22"/>
        <v>134.86228276724563</v>
      </c>
      <c r="M311" s="258">
        <f t="shared" si="23"/>
        <v>399.06837815801066</v>
      </c>
      <c r="N311" s="258">
        <f t="shared" si="24"/>
        <v>391.20775753435441</v>
      </c>
    </row>
    <row r="312" spans="5:14" ht="15">
      <c r="E312" s="248">
        <v>45597</v>
      </c>
      <c r="F312" s="323">
        <f t="shared" si="20"/>
        <v>45626</v>
      </c>
      <c r="G312" s="159">
        <f t="shared" si="21"/>
        <v>2025</v>
      </c>
      <c r="H312" s="500"/>
      <c r="I312" s="500"/>
      <c r="J312" s="257">
        <f>IF($E312&lt;DATE(2018,7,1),"-",INDEX('Annual Inflation'!$AM$53:$BA$53, MATCH(YEAR(EOMONTH($E312,6)), 'Annual Inflation'!$AM$6:$BA$6, 0))/100)</f>
        <v>1.7760878895190846E-2</v>
      </c>
      <c r="K312" s="257">
        <f>IF($E312&lt;DATE(2018,7,1),"-",INDEX('Annual Inflation'!$AM$50:$BA$50, MATCH(YEAR(EOMONTH($E312,6)), 'Annual Inflation'!$AM$6:$BA$6, 0))/100)</f>
        <v>2.5996271122782799E-2</v>
      </c>
      <c r="L312" s="258">
        <f t="shared" si="22"/>
        <v>135.06028215182874</v>
      </c>
      <c r="M312" s="258">
        <f t="shared" si="23"/>
        <v>399.92276944008233</v>
      </c>
      <c r="N312" s="258">
        <f t="shared" si="24"/>
        <v>391.78211304463167</v>
      </c>
    </row>
    <row r="313" spans="5:14" ht="15">
      <c r="E313" s="248">
        <v>45627</v>
      </c>
      <c r="F313" s="323">
        <f t="shared" si="20"/>
        <v>45657</v>
      </c>
      <c r="G313" s="159">
        <f t="shared" si="21"/>
        <v>2025</v>
      </c>
      <c r="H313" s="500"/>
      <c r="I313" s="500"/>
      <c r="J313" s="257">
        <f>IF($E313&lt;DATE(2018,7,1),"-",INDEX('Annual Inflation'!$AM$53:$BA$53, MATCH(YEAR(EOMONTH($E313,6)), 'Annual Inflation'!$AM$6:$BA$6, 0))/100)</f>
        <v>1.7760878895190846E-2</v>
      </c>
      <c r="K313" s="257">
        <f>IF($E313&lt;DATE(2018,7,1),"-",INDEX('Annual Inflation'!$AM$50:$BA$50, MATCH(YEAR(EOMONTH($E313,6)), 'Annual Inflation'!$AM$6:$BA$6, 0))/100)</f>
        <v>2.5996271122782799E-2</v>
      </c>
      <c r="L313" s="258">
        <f t="shared" si="22"/>
        <v>135.25857223115239</v>
      </c>
      <c r="M313" s="258">
        <f t="shared" si="23"/>
        <v>400.77898994366797</v>
      </c>
      <c r="N313" s="258">
        <f t="shared" si="24"/>
        <v>392.35731180059065</v>
      </c>
    </row>
    <row r="314" spans="5:14" ht="15">
      <c r="E314" s="248">
        <v>45658</v>
      </c>
      <c r="F314" s="323">
        <f t="shared" si="20"/>
        <v>45688</v>
      </c>
      <c r="G314" s="159">
        <f t="shared" si="21"/>
        <v>2025</v>
      </c>
      <c r="H314" s="500"/>
      <c r="I314" s="500"/>
      <c r="J314" s="257">
        <f>IF($E314&lt;DATE(2018,7,1),"-",INDEX('Annual Inflation'!$AM$53:$BA$53, MATCH(YEAR(EOMONTH($E314,6)), 'Annual Inflation'!$AM$6:$BA$6, 0))/100)</f>
        <v>1.7760878895190846E-2</v>
      </c>
      <c r="K314" s="257">
        <f>IF($E314&lt;DATE(2018,7,1),"-",INDEX('Annual Inflation'!$AM$50:$BA$50, MATCH(YEAR(EOMONTH($E314,6)), 'Annual Inflation'!$AM$6:$BA$6, 0))/100)</f>
        <v>2.5996271122782799E-2</v>
      </c>
      <c r="L314" s="258">
        <f t="shared" si="22"/>
        <v>135.45715343200288</v>
      </c>
      <c r="M314" s="258">
        <f t="shared" si="23"/>
        <v>401.63704358506618</v>
      </c>
      <c r="N314" s="258">
        <f t="shared" si="24"/>
        <v>392.93335504025077</v>
      </c>
    </row>
    <row r="315" spans="5:14" ht="15">
      <c r="E315" s="248">
        <v>45689</v>
      </c>
      <c r="F315" s="323">
        <f t="shared" si="20"/>
        <v>45716</v>
      </c>
      <c r="G315" s="159">
        <f t="shared" si="21"/>
        <v>2025</v>
      </c>
      <c r="H315" s="500"/>
      <c r="I315" s="500"/>
      <c r="J315" s="257">
        <f>IF($E315&lt;DATE(2018,7,1),"-",INDEX('Annual Inflation'!$AM$53:$BA$53, MATCH(YEAR(EOMONTH($E315,6)), 'Annual Inflation'!$AM$6:$BA$6, 0))/100)</f>
        <v>1.7760878895190846E-2</v>
      </c>
      <c r="K315" s="257">
        <f>IF($E315&lt;DATE(2018,7,1),"-",INDEX('Annual Inflation'!$AM$50:$BA$50, MATCH(YEAR(EOMONTH($E315,6)), 'Annual Inflation'!$AM$6:$BA$6, 0))/100)</f>
        <v>2.5996271122782799E-2</v>
      </c>
      <c r="L315" s="258">
        <f t="shared" si="22"/>
        <v>135.65602618179315</v>
      </c>
      <c r="M315" s="258">
        <f t="shared" si="23"/>
        <v>402.49693428896012</v>
      </c>
      <c r="N315" s="258">
        <f t="shared" si="24"/>
        <v>393.51024400344903</v>
      </c>
    </row>
    <row r="316" spans="5:14" ht="15">
      <c r="E316" s="248">
        <v>45717</v>
      </c>
      <c r="F316" s="323">
        <f t="shared" si="20"/>
        <v>45747</v>
      </c>
      <c r="G316" s="159">
        <f t="shared" si="21"/>
        <v>2025</v>
      </c>
      <c r="H316" s="500"/>
      <c r="I316" s="500"/>
      <c r="J316" s="257">
        <f>IF($E316&lt;DATE(2018,7,1),"-",INDEX('Annual Inflation'!$AM$53:$BA$53, MATCH(YEAR(EOMONTH($E316,6)), 'Annual Inflation'!$AM$6:$BA$6, 0))/100)</f>
        <v>1.7760878895190846E-2</v>
      </c>
      <c r="K316" s="257">
        <f>IF($E316&lt;DATE(2018,7,1),"-",INDEX('Annual Inflation'!$AM$50:$BA$50, MATCH(YEAR(EOMONTH($E316,6)), 'Annual Inflation'!$AM$6:$BA$6, 0))/100)</f>
        <v>2.5996271122782799E-2</v>
      </c>
      <c r="L316" s="258">
        <f t="shared" si="22"/>
        <v>135.85519090856366</v>
      </c>
      <c r="M316" s="258">
        <f t="shared" si="23"/>
        <v>403.35866598843569</v>
      </c>
      <c r="N316" s="258">
        <f t="shared" si="24"/>
        <v>394.08797993184277</v>
      </c>
    </row>
    <row r="317" spans="5:14" ht="15">
      <c r="E317" s="248">
        <v>45748</v>
      </c>
      <c r="F317" s="323">
        <f t="shared" si="20"/>
        <v>45777</v>
      </c>
      <c r="G317" s="159">
        <f t="shared" si="21"/>
        <v>2026</v>
      </c>
      <c r="H317" s="500"/>
      <c r="I317" s="500"/>
      <c r="J317" s="257">
        <f>IF($E317&lt;DATE(2018,7,1),"-",INDEX('Annual Inflation'!$AM$53:$BA$53, MATCH(YEAR(EOMONTH($E317,6)), 'Annual Inflation'!$AM$6:$BA$6, 0))/100)</f>
        <v>1.7760878895190846E-2</v>
      </c>
      <c r="K317" s="257">
        <f>IF($E317&lt;DATE(2018,7,1),"-",INDEX('Annual Inflation'!$AM$50:$BA$50, MATCH(YEAR(EOMONTH($E317,6)), 'Annual Inflation'!$AM$6:$BA$6, 0))/100)</f>
        <v>2.5996271122782799E-2</v>
      </c>
      <c r="L317" s="258">
        <f t="shared" si="22"/>
        <v>136.05464804098327</v>
      </c>
      <c r="M317" s="258">
        <f t="shared" si="23"/>
        <v>404.22224262499924</v>
      </c>
      <c r="N317" s="258">
        <f t="shared" si="24"/>
        <v>394.66656406891224</v>
      </c>
    </row>
    <row r="318" spans="5:14" ht="15">
      <c r="E318" s="248">
        <v>45778</v>
      </c>
      <c r="F318" s="323">
        <f t="shared" si="20"/>
        <v>45808</v>
      </c>
      <c r="G318" s="159">
        <f t="shared" si="21"/>
        <v>2026</v>
      </c>
      <c r="H318" s="500"/>
      <c r="I318" s="500"/>
      <c r="J318" s="257">
        <f>IF($E318&lt;DATE(2018,7,1),"-",INDEX('Annual Inflation'!$AM$53:$BA$53, MATCH(YEAR(EOMONTH($E318,6)), 'Annual Inflation'!$AM$6:$BA$6, 0))/100)</f>
        <v>1.7760878895190846E-2</v>
      </c>
      <c r="K318" s="257">
        <f>IF($E318&lt;DATE(2018,7,1),"-",INDEX('Annual Inflation'!$AM$50:$BA$50, MATCH(YEAR(EOMONTH($E318,6)), 'Annual Inflation'!$AM$6:$BA$6, 0))/100)</f>
        <v>2.5996271122782799E-2</v>
      </c>
      <c r="L318" s="258">
        <f t="shared" si="22"/>
        <v>136.25439800835019</v>
      </c>
      <c r="M318" s="258">
        <f t="shared" si="23"/>
        <v>405.08766814859587</v>
      </c>
      <c r="N318" s="258">
        <f t="shared" si="24"/>
        <v>395.24599765996334</v>
      </c>
    </row>
    <row r="319" spans="5:14" ht="15">
      <c r="E319" s="248">
        <v>45809</v>
      </c>
      <c r="F319" s="323">
        <f t="shared" si="20"/>
        <v>45838</v>
      </c>
      <c r="G319" s="159">
        <f t="shared" si="21"/>
        <v>2026</v>
      </c>
      <c r="H319" s="500"/>
      <c r="I319" s="500"/>
      <c r="J319" s="257">
        <f>IF($E319&lt;DATE(2018,7,1),"-",INDEX('Annual Inflation'!$AM$53:$BA$53, MATCH(YEAR(EOMONTH($E319,6)), 'Annual Inflation'!$AM$6:$BA$6, 0))/100)</f>
        <v>1.7760878895190846E-2</v>
      </c>
      <c r="K319" s="257">
        <f>IF($E319&lt;DATE(2018,7,1),"-",INDEX('Annual Inflation'!$AM$50:$BA$50, MATCH(YEAR(EOMONTH($E319,6)), 'Annual Inflation'!$AM$6:$BA$6, 0))/100)</f>
        <v>2.5996271122782799E-2</v>
      </c>
      <c r="L319" s="258">
        <f t="shared" si="22"/>
        <v>136.45444124059296</v>
      </c>
      <c r="M319" s="258">
        <f t="shared" si="23"/>
        <v>405.95494651762732</v>
      </c>
      <c r="N319" s="258">
        <f t="shared" si="24"/>
        <v>395.82628195213027</v>
      </c>
    </row>
    <row r="320" spans="5:14" ht="15">
      <c r="E320" s="248">
        <v>45839</v>
      </c>
      <c r="F320" s="323">
        <f t="shared" si="20"/>
        <v>45869</v>
      </c>
      <c r="G320" s="159">
        <f t="shared" si="21"/>
        <v>2026</v>
      </c>
      <c r="H320" s="500"/>
      <c r="I320" s="500"/>
      <c r="J320" s="257">
        <f>IF($E320&lt;DATE(2018,7,1),"-",INDEX('Annual Inflation'!$AM$53:$BA$53, MATCH(YEAR(EOMONTH($E320,6)), 'Annual Inflation'!$AM$6:$BA$6, 0))/100)</f>
        <v>1.446667906451915E-2</v>
      </c>
      <c r="K320" s="257">
        <f>IF($E320&lt;DATE(2018,7,1),"-",INDEX('Annual Inflation'!$AM$50:$BA$50, MATCH(YEAR(EOMONTH($E320,6)), 'Annual Inflation'!$AM$6:$BA$6, 0))/100)</f>
        <v>2.5121856232399598E-2</v>
      </c>
      <c r="L320" s="258">
        <f t="shared" si="22"/>
        <v>136.61786401664347</v>
      </c>
      <c r="M320" s="258">
        <f t="shared" si="23"/>
        <v>406.79517710508418</v>
      </c>
      <c r="N320" s="258">
        <f t="shared" si="24"/>
        <v>396.30033782925864</v>
      </c>
    </row>
    <row r="321" spans="5:14" ht="15">
      <c r="E321" s="248">
        <v>45870</v>
      </c>
      <c r="F321" s="323">
        <f t="shared" si="20"/>
        <v>45900</v>
      </c>
      <c r="G321" s="159">
        <f t="shared" si="21"/>
        <v>2026</v>
      </c>
      <c r="H321" s="500"/>
      <c r="I321" s="500"/>
      <c r="J321" s="257">
        <f>IF($E321&lt;DATE(2018,7,1),"-",INDEX('Annual Inflation'!$AM$53:$BA$53, MATCH(YEAR(EOMONTH($E321,6)), 'Annual Inflation'!$AM$6:$BA$6, 0))/100)</f>
        <v>1.446667906451915E-2</v>
      </c>
      <c r="K321" s="257">
        <f>IF($E321&lt;DATE(2018,7,1),"-",INDEX('Annual Inflation'!$AM$50:$BA$50, MATCH(YEAR(EOMONTH($E321,6)), 'Annual Inflation'!$AM$6:$BA$6, 0))/100)</f>
        <v>2.5121856232399598E-2</v>
      </c>
      <c r="L321" s="258">
        <f t="shared" si="22"/>
        <v>136.78148251372357</v>
      </c>
      <c r="M321" s="258">
        <f t="shared" si="23"/>
        <v>407.6371467708455</v>
      </c>
      <c r="N321" s="258">
        <f t="shared" si="24"/>
        <v>396.77496145285784</v>
      </c>
    </row>
    <row r="322" spans="5:14" ht="15">
      <c r="E322" s="248">
        <v>45901</v>
      </c>
      <c r="F322" s="323">
        <f t="shared" si="20"/>
        <v>45930</v>
      </c>
      <c r="G322" s="159">
        <f t="shared" si="21"/>
        <v>2026</v>
      </c>
      <c r="H322" s="500"/>
      <c r="I322" s="500"/>
      <c r="J322" s="257">
        <f>IF($E322&lt;DATE(2018,7,1),"-",INDEX('Annual Inflation'!$AM$53:$BA$53, MATCH(YEAR(EOMONTH($E322,6)), 'Annual Inflation'!$AM$6:$BA$6, 0))/100)</f>
        <v>1.446667906451915E-2</v>
      </c>
      <c r="K322" s="257">
        <f>IF($E322&lt;DATE(2018,7,1),"-",INDEX('Annual Inflation'!$AM$50:$BA$50, MATCH(YEAR(EOMONTH($E322,6)), 'Annual Inflation'!$AM$6:$BA$6, 0))/100)</f>
        <v>2.5121856232399598E-2</v>
      </c>
      <c r="L322" s="258">
        <f t="shared" si="22"/>
        <v>136.94529696623587</v>
      </c>
      <c r="M322" s="258">
        <f t="shared" si="23"/>
        <v>408.48085911439154</v>
      </c>
      <c r="N322" s="258">
        <f t="shared" si="24"/>
        <v>397.25015350288157</v>
      </c>
    </row>
    <row r="323" spans="5:14" ht="15">
      <c r="E323" s="248">
        <v>45931</v>
      </c>
      <c r="F323" s="323">
        <f t="shared" si="20"/>
        <v>45961</v>
      </c>
      <c r="G323" s="159">
        <f t="shared" si="21"/>
        <v>2026</v>
      </c>
      <c r="H323" s="500"/>
      <c r="I323" s="500"/>
      <c r="J323" s="257">
        <f>IF($E323&lt;DATE(2018,7,1),"-",INDEX('Annual Inflation'!$AM$53:$BA$53, MATCH(YEAR(EOMONTH($E323,6)), 'Annual Inflation'!$AM$6:$BA$6, 0))/100)</f>
        <v>1.446667906451915E-2</v>
      </c>
      <c r="K323" s="257">
        <f>IF($E323&lt;DATE(2018,7,1),"-",INDEX('Annual Inflation'!$AM$50:$BA$50, MATCH(YEAR(EOMONTH($E323,6)), 'Annual Inflation'!$AM$6:$BA$6, 0))/100)</f>
        <v>2.5121856232399598E-2</v>
      </c>
      <c r="L323" s="258">
        <f t="shared" si="22"/>
        <v>137.10930760886365</v>
      </c>
      <c r="M323" s="258">
        <f t="shared" si="23"/>
        <v>409.32631774265252</v>
      </c>
      <c r="N323" s="258">
        <f t="shared" si="24"/>
        <v>397.72591466009794</v>
      </c>
    </row>
    <row r="324" spans="5:14" ht="15">
      <c r="E324" s="248">
        <v>45962</v>
      </c>
      <c r="F324" s="323">
        <f t="shared" si="20"/>
        <v>45991</v>
      </c>
      <c r="G324" s="159">
        <f t="shared" si="21"/>
        <v>2026</v>
      </c>
      <c r="H324" s="500"/>
      <c r="I324" s="500"/>
      <c r="J324" s="257">
        <f>IF($E324&lt;DATE(2018,7,1),"-",INDEX('Annual Inflation'!$AM$53:$BA$53, MATCH(YEAR(EOMONTH($E324,6)), 'Annual Inflation'!$AM$6:$BA$6, 0))/100)</f>
        <v>1.446667906451915E-2</v>
      </c>
      <c r="K324" s="257">
        <f>IF($E324&lt;DATE(2018,7,1),"-",INDEX('Annual Inflation'!$AM$50:$BA$50, MATCH(YEAR(EOMONTH($E324,6)), 'Annual Inflation'!$AM$6:$BA$6, 0))/100)</f>
        <v>2.5121856232399598E-2</v>
      </c>
      <c r="L324" s="258">
        <f t="shared" si="22"/>
        <v>137.2735146765713</v>
      </c>
      <c r="M324" s="258">
        <f t="shared" si="23"/>
        <v>410.17352627002418</v>
      </c>
      <c r="N324" s="258">
        <f t="shared" si="24"/>
        <v>398.20224560609023</v>
      </c>
    </row>
    <row r="325" spans="5:14" ht="15">
      <c r="E325" s="248">
        <v>45992</v>
      </c>
      <c r="F325" s="323">
        <f t="shared" si="20"/>
        <v>46022</v>
      </c>
      <c r="G325" s="159">
        <f t="shared" si="21"/>
        <v>2026</v>
      </c>
      <c r="H325" s="500"/>
      <c r="I325" s="500"/>
      <c r="J325" s="257">
        <f>IF($E325&lt;DATE(2018,7,1),"-",INDEX('Annual Inflation'!$AM$53:$BA$53, MATCH(YEAR(EOMONTH($E325,6)), 'Annual Inflation'!$AM$6:$BA$6, 0))/100)</f>
        <v>1.446667906451915E-2</v>
      </c>
      <c r="K325" s="257">
        <f>IF($E325&lt;DATE(2018,7,1),"-",INDEX('Annual Inflation'!$AM$50:$BA$50, MATCH(YEAR(EOMONTH($E325,6)), 'Annual Inflation'!$AM$6:$BA$6, 0))/100)</f>
        <v>2.5121856232399598E-2</v>
      </c>
      <c r="L325" s="258">
        <f t="shared" si="22"/>
        <v>137.4379184046046</v>
      </c>
      <c r="M325" s="258">
        <f t="shared" si="23"/>
        <v>411.02248831838324</v>
      </c>
      <c r="N325" s="258">
        <f t="shared" si="24"/>
        <v>398.67914702325817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1.446667906451915E-2</v>
      </c>
      <c r="K326" s="257">
        <f>IF($E326&lt;DATE(2018,7,1),"-",INDEX('Annual Inflation'!$AM$50:$BA$50, MATCH(YEAR(EOMONTH($E326,6)), 'Annual Inflation'!$AM$6:$BA$6, 0))/100)</f>
        <v>2.5121856232399598E-2</v>
      </c>
      <c r="L326" s="258">
        <f t="shared" ref="L326:L352" si="29">IF(ISBLANK(H326),L325*((1+J326)^(1/12)),H326)</f>
        <v>137.60251902849109</v>
      </c>
      <c r="M326" s="258">
        <f t="shared" ref="M326:M352" si="30">IF(ISBLANK(I326),M325*((1+K326)^(1/12)),I326)</f>
        <v>411.8732075171028</v>
      </c>
      <c r="N326" s="258">
        <f t="shared" ref="N326:N352" si="31">IF($E326 &lt; DATE(2023,4,1),  M326,  IF($E326 = DATE(2023,4,1), N325 * ((0.5*L326/L325) + (0.5*M326/M325)), N325*(L326/L325)))</f>
        <v>399.15661959481866</v>
      </c>
    </row>
    <row r="327" spans="5:14" ht="15">
      <c r="E327" s="248">
        <v>46054</v>
      </c>
      <c r="F327" s="323">
        <f t="shared" si="27"/>
        <v>46081</v>
      </c>
      <c r="G327" s="159">
        <f t="shared" si="28"/>
        <v>2026</v>
      </c>
      <c r="H327" s="500"/>
      <c r="I327" s="500"/>
      <c r="J327" s="257">
        <f>IF($E327&lt;DATE(2018,7,1),"-",INDEX('Annual Inflation'!$AM$53:$BA$53, MATCH(YEAR(EOMONTH($E327,6)), 'Annual Inflation'!$AM$6:$BA$6, 0))/100)</f>
        <v>1.446667906451915E-2</v>
      </c>
      <c r="K327" s="257">
        <f>IF($E327&lt;DATE(2018,7,1),"-",INDEX('Annual Inflation'!$AM$50:$BA$50, MATCH(YEAR(EOMONTH($E327,6)), 'Annual Inflation'!$AM$6:$BA$6, 0))/100)</f>
        <v>2.5121856232399598E-2</v>
      </c>
      <c r="L327" s="258">
        <f t="shared" si="29"/>
        <v>137.76731678404036</v>
      </c>
      <c r="M327" s="258">
        <f t="shared" si="30"/>
        <v>412.72568750306795</v>
      </c>
      <c r="N327" s="258">
        <f t="shared" si="31"/>
        <v>399.63466400480684</v>
      </c>
    </row>
    <row r="328" spans="5:14" ht="15">
      <c r="E328" s="248">
        <v>46082</v>
      </c>
      <c r="F328" s="323">
        <f t="shared" si="27"/>
        <v>46112</v>
      </c>
      <c r="G328" s="159">
        <f t="shared" si="28"/>
        <v>2026</v>
      </c>
      <c r="H328" s="500"/>
      <c r="I328" s="500"/>
      <c r="J328" s="257">
        <f>IF($E328&lt;DATE(2018,7,1),"-",INDEX('Annual Inflation'!$AM$53:$BA$53, MATCH(YEAR(EOMONTH($E328,6)), 'Annual Inflation'!$AM$6:$BA$6, 0))/100)</f>
        <v>1.446667906451915E-2</v>
      </c>
      <c r="K328" s="257">
        <f>IF($E328&lt;DATE(2018,7,1),"-",INDEX('Annual Inflation'!$AM$50:$BA$50, MATCH(YEAR(EOMONTH($E328,6)), 'Annual Inflation'!$AM$6:$BA$6, 0))/100)</f>
        <v>2.5121856232399598E-2</v>
      </c>
      <c r="L328" s="258">
        <f t="shared" si="29"/>
        <v>137.93231190734443</v>
      </c>
      <c r="M328" s="258">
        <f t="shared" si="30"/>
        <v>413.57993192069119</v>
      </c>
      <c r="N328" s="258">
        <f t="shared" si="31"/>
        <v>400.11328093807708</v>
      </c>
    </row>
    <row r="329" spans="5:14" ht="15">
      <c r="E329" s="248">
        <v>46113</v>
      </c>
      <c r="F329" s="323">
        <f t="shared" si="27"/>
        <v>46142</v>
      </c>
      <c r="G329" s="159">
        <f t="shared" si="28"/>
        <v>2027</v>
      </c>
      <c r="H329" s="500"/>
      <c r="I329" s="500"/>
      <c r="J329" s="257">
        <f>IF($E329&lt;DATE(2018,7,1),"-",INDEX('Annual Inflation'!$AM$53:$BA$53, MATCH(YEAR(EOMONTH($E329,6)), 'Annual Inflation'!$AM$6:$BA$6, 0))/100)</f>
        <v>1.446667906451915E-2</v>
      </c>
      <c r="K329" s="257">
        <f>IF($E329&lt;DATE(2018,7,1),"-",INDEX('Annual Inflation'!$AM$50:$BA$50, MATCH(YEAR(EOMONTH($E329,6)), 'Annual Inflation'!$AM$6:$BA$6, 0))/100)</f>
        <v>2.5121856232399598E-2</v>
      </c>
      <c r="L329" s="258">
        <f t="shared" si="29"/>
        <v>138.09750463477803</v>
      </c>
      <c r="M329" s="258">
        <f t="shared" si="30"/>
        <v>414.43594442192818</v>
      </c>
      <c r="N329" s="258">
        <f t="shared" si="31"/>
        <v>400.59247108030405</v>
      </c>
    </row>
    <row r="330" spans="5:14" ht="15">
      <c r="E330" s="248">
        <v>46143</v>
      </c>
      <c r="F330" s="323">
        <f t="shared" si="27"/>
        <v>46173</v>
      </c>
      <c r="G330" s="159">
        <f t="shared" si="28"/>
        <v>2027</v>
      </c>
      <c r="H330" s="500"/>
      <c r="I330" s="500"/>
      <c r="J330" s="257">
        <f>IF($E330&lt;DATE(2018,7,1),"-",INDEX('Annual Inflation'!$AM$53:$BA$53, MATCH(YEAR(EOMONTH($E330,6)), 'Annual Inflation'!$AM$6:$BA$6, 0))/100)</f>
        <v>1.446667906451915E-2</v>
      </c>
      <c r="K330" s="257">
        <f>IF($E330&lt;DATE(2018,7,1),"-",INDEX('Annual Inflation'!$AM$50:$BA$50, MATCH(YEAR(EOMONTH($E330,6)), 'Annual Inflation'!$AM$6:$BA$6, 0))/100)</f>
        <v>2.5121856232399598E-2</v>
      </c>
      <c r="L330" s="258">
        <f t="shared" si="29"/>
        <v>138.26289520299906</v>
      </c>
      <c r="M330" s="258">
        <f t="shared" si="30"/>
        <v>415.29372866629319</v>
      </c>
      <c r="N330" s="258">
        <f t="shared" si="31"/>
        <v>401.0722351179835</v>
      </c>
    </row>
    <row r="331" spans="5:14" ht="15">
      <c r="E331" s="248">
        <v>46174</v>
      </c>
      <c r="F331" s="323">
        <f t="shared" si="27"/>
        <v>46203</v>
      </c>
      <c r="G331" s="159">
        <f t="shared" si="28"/>
        <v>2027</v>
      </c>
      <c r="H331" s="500"/>
      <c r="I331" s="500"/>
      <c r="J331" s="257">
        <f>IF($E331&lt;DATE(2018,7,1),"-",INDEX('Annual Inflation'!$AM$53:$BA$53, MATCH(YEAR(EOMONTH($E331,6)), 'Annual Inflation'!$AM$6:$BA$6, 0))/100)</f>
        <v>1.446667906451915E-2</v>
      </c>
      <c r="K331" s="257">
        <f>IF($E331&lt;DATE(2018,7,1),"-",INDEX('Annual Inflation'!$AM$50:$BA$50, MATCH(YEAR(EOMONTH($E331,6)), 'Annual Inflation'!$AM$6:$BA$6, 0))/100)</f>
        <v>2.5121856232399598E-2</v>
      </c>
      <c r="L331" s="258">
        <f t="shared" si="29"/>
        <v>138.42848384894879</v>
      </c>
      <c r="M331" s="258">
        <f t="shared" si="30"/>
        <v>416.15328832087488</v>
      </c>
      <c r="N331" s="258">
        <f t="shared" si="31"/>
        <v>401.55257373843341</v>
      </c>
    </row>
    <row r="332" spans="5:14" ht="15">
      <c r="E332" s="248">
        <v>46204</v>
      </c>
      <c r="F332" s="323">
        <f t="shared" si="27"/>
        <v>46234</v>
      </c>
      <c r="G332" s="159">
        <f t="shared" si="28"/>
        <v>2027</v>
      </c>
      <c r="H332" s="500"/>
      <c r="I332" s="500"/>
      <c r="J332" s="257">
        <f>IF($E332&lt;DATE(2018,7,1),"-",INDEX('Annual Inflation'!$AM$53:$BA$53, MATCH(YEAR(EOMONTH($E332,6)), 'Annual Inflation'!$AM$6:$BA$6, 0))/100)</f>
        <v>1.7296573062324683E-2</v>
      </c>
      <c r="K332" s="257">
        <f>IF($E332&lt;DATE(2018,7,1),"-",INDEX('Annual Inflation'!$AM$50:$BA$50, MATCH(YEAR(EOMONTH($E332,6)), 'Annual Inflation'!$AM$6:$BA$6, 0))/100)</f>
        <v>2.8036598929437329E-2</v>
      </c>
      <c r="L332" s="258">
        <f t="shared" si="29"/>
        <v>138.62644753081375</v>
      </c>
      <c r="M332" s="258">
        <f t="shared" si="30"/>
        <v>417.1133071338275</v>
      </c>
      <c r="N332" s="258">
        <f t="shared" si="31"/>
        <v>402.12682568246504</v>
      </c>
    </row>
    <row r="333" spans="5:14" ht="15">
      <c r="E333" s="248">
        <v>46235</v>
      </c>
      <c r="F333" s="323">
        <f t="shared" si="27"/>
        <v>46265</v>
      </c>
      <c r="G333" s="159">
        <f t="shared" si="28"/>
        <v>2027</v>
      </c>
      <c r="H333" s="500"/>
      <c r="I333" s="500"/>
      <c r="J333" s="257">
        <f>IF($E333&lt;DATE(2018,7,1),"-",INDEX('Annual Inflation'!$AM$53:$BA$53, MATCH(YEAR(EOMONTH($E333,6)), 'Annual Inflation'!$AM$6:$BA$6, 0))/100)</f>
        <v>1.7296573062324683E-2</v>
      </c>
      <c r="K333" s="257">
        <f>IF($E333&lt;DATE(2018,7,1),"-",INDEX('Annual Inflation'!$AM$50:$BA$50, MATCH(YEAR(EOMONTH($E333,6)), 'Annual Inflation'!$AM$6:$BA$6, 0))/100)</f>
        <v>2.8036598929437329E-2</v>
      </c>
      <c r="L333" s="258">
        <f t="shared" si="29"/>
        <v>138.82469431640308</v>
      </c>
      <c r="M333" s="258">
        <f t="shared" si="30"/>
        <v>418.07554060216574</v>
      </c>
      <c r="N333" s="258">
        <f t="shared" si="31"/>
        <v>402.70189885220111</v>
      </c>
    </row>
    <row r="334" spans="5:14" ht="15">
      <c r="E334" s="248">
        <v>46266</v>
      </c>
      <c r="F334" s="323">
        <f t="shared" si="27"/>
        <v>46295</v>
      </c>
      <c r="G334" s="159">
        <f t="shared" si="28"/>
        <v>2027</v>
      </c>
      <c r="H334" s="500"/>
      <c r="I334" s="500"/>
      <c r="J334" s="257">
        <f>IF($E334&lt;DATE(2018,7,1),"-",INDEX('Annual Inflation'!$AM$53:$BA$53, MATCH(YEAR(EOMONTH($E334,6)), 'Annual Inflation'!$AM$6:$BA$6, 0))/100)</f>
        <v>1.7296573062324683E-2</v>
      </c>
      <c r="K334" s="257">
        <f>IF($E334&lt;DATE(2018,7,1),"-",INDEX('Annual Inflation'!$AM$50:$BA$50, MATCH(YEAR(EOMONTH($E334,6)), 'Annual Inflation'!$AM$6:$BA$6, 0))/100)</f>
        <v>2.8036598929437329E-2</v>
      </c>
      <c r="L334" s="258">
        <f t="shared" si="29"/>
        <v>139.02322461057753</v>
      </c>
      <c r="M334" s="258">
        <f t="shared" si="30"/>
        <v>419.03999383485041</v>
      </c>
      <c r="N334" s="258">
        <f t="shared" si="31"/>
        <v>403.27779442205929</v>
      </c>
    </row>
    <row r="335" spans="5:14" ht="15">
      <c r="E335" s="248">
        <v>46296</v>
      </c>
      <c r="F335" s="323">
        <f t="shared" si="27"/>
        <v>46326</v>
      </c>
      <c r="G335" s="159">
        <f t="shared" si="28"/>
        <v>2027</v>
      </c>
      <c r="H335" s="500"/>
      <c r="I335" s="500"/>
      <c r="J335" s="257">
        <f>IF($E335&lt;DATE(2018,7,1),"-",INDEX('Annual Inflation'!$AM$53:$BA$53, MATCH(YEAR(EOMONTH($E335,6)), 'Annual Inflation'!$AM$6:$BA$6, 0))/100)</f>
        <v>1.7296573062324683E-2</v>
      </c>
      <c r="K335" s="257">
        <f>IF($E335&lt;DATE(2018,7,1),"-",INDEX('Annual Inflation'!$AM$50:$BA$50, MATCH(YEAR(EOMONTH($E335,6)), 'Annual Inflation'!$AM$6:$BA$6, 0))/100)</f>
        <v>2.8036598929437329E-2</v>
      </c>
      <c r="L335" s="258">
        <f t="shared" si="29"/>
        <v>139.22203881877678</v>
      </c>
      <c r="M335" s="258">
        <f t="shared" si="30"/>
        <v>420.0066719526281</v>
      </c>
      <c r="N335" s="258">
        <f t="shared" si="31"/>
        <v>403.85451356813684</v>
      </c>
    </row>
    <row r="336" spans="5:14" ht="15">
      <c r="E336" s="248">
        <v>46327</v>
      </c>
      <c r="F336" s="323">
        <f t="shared" si="27"/>
        <v>46356</v>
      </c>
      <c r="G336" s="159">
        <f t="shared" si="28"/>
        <v>2027</v>
      </c>
      <c r="H336" s="500"/>
      <c r="I336" s="500"/>
      <c r="J336" s="257">
        <f>IF($E336&lt;DATE(2018,7,1),"-",INDEX('Annual Inflation'!$AM$53:$BA$53, MATCH(YEAR(EOMONTH($E336,6)), 'Annual Inflation'!$AM$6:$BA$6, 0))/100)</f>
        <v>1.7296573062324683E-2</v>
      </c>
      <c r="K336" s="257">
        <f>IF($E336&lt;DATE(2018,7,1),"-",INDEX('Annual Inflation'!$AM$50:$BA$50, MATCH(YEAR(EOMONTH($E336,6)), 'Annual Inflation'!$AM$6:$BA$6, 0))/100)</f>
        <v>2.8036598929437329E-2</v>
      </c>
      <c r="L336" s="258">
        <f t="shared" si="29"/>
        <v>139.42113734702033</v>
      </c>
      <c r="M336" s="258">
        <f t="shared" si="30"/>
        <v>420.97558008805834</v>
      </c>
      <c r="N336" s="258">
        <f t="shared" si="31"/>
        <v>404.43205746821286</v>
      </c>
    </row>
    <row r="337" spans="5:14" ht="15">
      <c r="E337" s="248">
        <v>46357</v>
      </c>
      <c r="F337" s="323">
        <f t="shared" si="27"/>
        <v>46387</v>
      </c>
      <c r="G337" s="159">
        <f t="shared" si="28"/>
        <v>2027</v>
      </c>
      <c r="H337" s="500"/>
      <c r="I337" s="500"/>
      <c r="J337" s="257">
        <f>IF($E337&lt;DATE(2018,7,1),"-",INDEX('Annual Inflation'!$AM$53:$BA$53, MATCH(YEAR(EOMONTH($E337,6)), 'Annual Inflation'!$AM$6:$BA$6, 0))/100)</f>
        <v>1.7296573062324683E-2</v>
      </c>
      <c r="K337" s="257">
        <f>IF($E337&lt;DATE(2018,7,1),"-",INDEX('Annual Inflation'!$AM$50:$BA$50, MATCH(YEAR(EOMONTH($E337,6)), 'Annual Inflation'!$AM$6:$BA$6, 0))/100)</f>
        <v>2.8036598929437329E-2</v>
      </c>
      <c r="L337" s="258">
        <f t="shared" si="29"/>
        <v>139.62052060190837</v>
      </c>
      <c r="M337" s="258">
        <f t="shared" si="30"/>
        <v>421.94672338554102</v>
      </c>
      <c r="N337" s="258">
        <f t="shared" si="31"/>
        <v>405.01042730175084</v>
      </c>
    </row>
    <row r="338" spans="5:14" ht="15">
      <c r="E338" s="248">
        <v>46388</v>
      </c>
      <c r="F338" s="323">
        <f t="shared" si="27"/>
        <v>46418</v>
      </c>
      <c r="G338" s="159">
        <f t="shared" si="28"/>
        <v>2027</v>
      </c>
      <c r="H338" s="500"/>
      <c r="I338" s="500"/>
      <c r="J338" s="257">
        <f>IF($E338&lt;DATE(2018,7,1),"-",INDEX('Annual Inflation'!$AM$53:$BA$53, MATCH(YEAR(EOMONTH($E338,6)), 'Annual Inflation'!$AM$6:$BA$6, 0))/100)</f>
        <v>1.7296573062324683E-2</v>
      </c>
      <c r="K338" s="257">
        <f>IF($E338&lt;DATE(2018,7,1),"-",INDEX('Annual Inflation'!$AM$50:$BA$50, MATCH(YEAR(EOMONTH($E338,6)), 'Annual Inflation'!$AM$6:$BA$6, 0))/100)</f>
        <v>2.8036598929437329E-2</v>
      </c>
      <c r="L338" s="258">
        <f t="shared" si="29"/>
        <v>139.82018899062248</v>
      </c>
      <c r="M338" s="258">
        <f t="shared" si="30"/>
        <v>422.92010700134347</v>
      </c>
      <c r="N338" s="258">
        <f t="shared" si="31"/>
        <v>405.58962424990096</v>
      </c>
    </row>
    <row r="339" spans="5:14" ht="15">
      <c r="E339" s="248">
        <v>46419</v>
      </c>
      <c r="F339" s="323">
        <f t="shared" si="27"/>
        <v>46446</v>
      </c>
      <c r="G339" s="159">
        <f t="shared" si="28"/>
        <v>2027</v>
      </c>
      <c r="H339" s="500"/>
      <c r="I339" s="500"/>
      <c r="J339" s="257">
        <f>IF($E339&lt;DATE(2018,7,1),"-",INDEX('Annual Inflation'!$AM$53:$BA$53, MATCH(YEAR(EOMONTH($E339,6)), 'Annual Inflation'!$AM$6:$BA$6, 0))/100)</f>
        <v>1.7296573062324683E-2</v>
      </c>
      <c r="K339" s="257">
        <f>IF($E339&lt;DATE(2018,7,1),"-",INDEX('Annual Inflation'!$AM$50:$BA$50, MATCH(YEAR(EOMONTH($E339,6)), 'Annual Inflation'!$AM$6:$BA$6, 0))/100)</f>
        <v>2.8036598929437329E-2</v>
      </c>
      <c r="L339" s="258">
        <f t="shared" si="29"/>
        <v>140.02014292092662</v>
      </c>
      <c r="M339" s="258">
        <f t="shared" si="30"/>
        <v>423.89573610362794</v>
      </c>
      <c r="N339" s="258">
        <f t="shared" si="31"/>
        <v>406.16964949550254</v>
      </c>
    </row>
    <row r="340" spans="5:14" ht="15">
      <c r="E340" s="248">
        <v>46447</v>
      </c>
      <c r="F340" s="323">
        <f t="shared" si="27"/>
        <v>46477</v>
      </c>
      <c r="G340" s="159">
        <f t="shared" si="28"/>
        <v>2027</v>
      </c>
      <c r="H340" s="500"/>
      <c r="I340" s="500"/>
      <c r="J340" s="257">
        <f>IF($E340&lt;DATE(2018,7,1),"-",INDEX('Annual Inflation'!$AM$53:$BA$53, MATCH(YEAR(EOMONTH($E340,6)), 'Annual Inflation'!$AM$6:$BA$6, 0))/100)</f>
        <v>1.7296573062324683E-2</v>
      </c>
      <c r="K340" s="257">
        <f>IF($E340&lt;DATE(2018,7,1),"-",INDEX('Annual Inflation'!$AM$50:$BA$50, MATCH(YEAR(EOMONTH($E340,6)), 'Annual Inflation'!$AM$6:$BA$6, 0))/100)</f>
        <v>2.8036598929437329E-2</v>
      </c>
      <c r="L340" s="258">
        <f t="shared" si="29"/>
        <v>140.22038280116783</v>
      </c>
      <c r="M340" s="258">
        <f t="shared" si="30"/>
        <v>424.87361587247915</v>
      </c>
      <c r="N340" s="258">
        <f t="shared" si="31"/>
        <v>406.75050422308641</v>
      </c>
    </row>
    <row r="341" spans="5:14" ht="15">
      <c r="E341" s="248">
        <v>46478</v>
      </c>
      <c r="F341" s="323">
        <f t="shared" si="27"/>
        <v>46507</v>
      </c>
      <c r="G341" s="159">
        <f t="shared" si="28"/>
        <v>2028</v>
      </c>
      <c r="H341" s="500"/>
      <c r="I341" s="500"/>
      <c r="J341" s="257">
        <f>IF($E341&lt;DATE(2018,7,1),"-",INDEX('Annual Inflation'!$AM$53:$BA$53, MATCH(YEAR(EOMONTH($E341,6)), 'Annual Inflation'!$AM$6:$BA$6, 0))/100)</f>
        <v>1.7296573062324683E-2</v>
      </c>
      <c r="K341" s="257">
        <f>IF($E341&lt;DATE(2018,7,1),"-",INDEX('Annual Inflation'!$AM$50:$BA$50, MATCH(YEAR(EOMONTH($E341,6)), 'Annual Inflation'!$AM$6:$BA$6, 0))/100)</f>
        <v>2.8036598929437329E-2</v>
      </c>
      <c r="L341" s="258">
        <f t="shared" si="29"/>
        <v>140.42090904027714</v>
      </c>
      <c r="M341" s="258">
        <f t="shared" si="30"/>
        <v>425.85375149993166</v>
      </c>
      <c r="N341" s="258">
        <f t="shared" si="31"/>
        <v>407.33218961887746</v>
      </c>
    </row>
    <row r="342" spans="5:14" ht="15">
      <c r="E342" s="248">
        <v>46508</v>
      </c>
      <c r="F342" s="323">
        <f t="shared" si="27"/>
        <v>46538</v>
      </c>
      <c r="G342" s="159">
        <f t="shared" si="28"/>
        <v>2028</v>
      </c>
      <c r="H342" s="500"/>
      <c r="I342" s="500"/>
      <c r="J342" s="257">
        <f>IF($E342&lt;DATE(2018,7,1),"-",INDEX('Annual Inflation'!$AM$53:$BA$53, MATCH(YEAR(EOMONTH($E342,6)), 'Annual Inflation'!$AM$6:$BA$6, 0))/100)</f>
        <v>1.7296573062324683E-2</v>
      </c>
      <c r="K342" s="257">
        <f>IF($E342&lt;DATE(2018,7,1),"-",INDEX('Annual Inflation'!$AM$50:$BA$50, MATCH(YEAR(EOMONTH($E342,6)), 'Annual Inflation'!$AM$6:$BA$6, 0))/100)</f>
        <v>2.8036598929437329E-2</v>
      </c>
      <c r="L342" s="258">
        <f t="shared" si="29"/>
        <v>140.62172204777039</v>
      </c>
      <c r="M342" s="258">
        <f t="shared" si="30"/>
        <v>426.8361481899974</v>
      </c>
      <c r="N342" s="258">
        <f t="shared" si="31"/>
        <v>407.91470687079698</v>
      </c>
    </row>
    <row r="343" spans="5:14" ht="15">
      <c r="E343" s="248">
        <v>46539</v>
      </c>
      <c r="F343" s="323">
        <f t="shared" si="27"/>
        <v>46568</v>
      </c>
      <c r="G343" s="159">
        <f t="shared" si="28"/>
        <v>2028</v>
      </c>
      <c r="H343" s="500"/>
      <c r="I343" s="500"/>
      <c r="J343" s="257">
        <f>IF($E343&lt;DATE(2018,7,1),"-",INDEX('Annual Inflation'!$AM$53:$BA$53, MATCH(YEAR(EOMONTH($E343,6)), 'Annual Inflation'!$AM$6:$BA$6, 0))/100)</f>
        <v>1.7296573062324683E-2</v>
      </c>
      <c r="K343" s="257">
        <f>IF($E343&lt;DATE(2018,7,1),"-",INDEX('Annual Inflation'!$AM$50:$BA$50, MATCH(YEAR(EOMONTH($E343,6)), 'Annual Inflation'!$AM$6:$BA$6, 0))/100)</f>
        <v>2.8036598929437329E-2</v>
      </c>
      <c r="L343" s="258">
        <f t="shared" si="29"/>
        <v>140.82282223374906</v>
      </c>
      <c r="M343" s="258">
        <f t="shared" si="30"/>
        <v>427.8208111586934</v>
      </c>
      <c r="N343" s="258">
        <f t="shared" si="31"/>
        <v>408.49805716846498</v>
      </c>
    </row>
    <row r="344" spans="5:14" ht="15">
      <c r="E344" s="248">
        <v>46569</v>
      </c>
      <c r="F344" s="323">
        <f t="shared" si="27"/>
        <v>46599</v>
      </c>
      <c r="G344" s="159">
        <f t="shared" si="28"/>
        <v>2028</v>
      </c>
      <c r="H344" s="500"/>
      <c r="I344" s="500"/>
      <c r="J344" s="257">
        <f>IF($E344&lt;DATE(2018,7,1),"-",INDEX('Annual Inflation'!$AM$53:$BA$53, MATCH(YEAR(EOMONTH($E344,6)), 'Annual Inflation'!$AM$6:$BA$6, 0))/100)</f>
        <v>1.960504241247718E-2</v>
      </c>
      <c r="K344" s="257">
        <f>IF($E344&lt;DATE(2018,7,1),"-",INDEX('Annual Inflation'!$AM$50:$BA$50, MATCH(YEAR(EOMONTH($E344,6)), 'Annual Inflation'!$AM$6:$BA$6, 0))/100)</f>
        <v>2.8576541255967536E-2</v>
      </c>
      <c r="L344" s="258">
        <f t="shared" si="29"/>
        <v>141.05085022161808</v>
      </c>
      <c r="M344" s="258">
        <f t="shared" si="30"/>
        <v>428.82650921176889</v>
      </c>
      <c r="N344" s="258">
        <f t="shared" si="31"/>
        <v>409.15951948364216</v>
      </c>
    </row>
    <row r="345" spans="5:14" ht="15">
      <c r="E345" s="248">
        <v>46600</v>
      </c>
      <c r="F345" s="323">
        <f t="shared" si="27"/>
        <v>46630</v>
      </c>
      <c r="G345" s="159">
        <f t="shared" si="28"/>
        <v>2028</v>
      </c>
      <c r="H345" s="500"/>
      <c r="I345" s="500"/>
      <c r="J345" s="257">
        <f>IF($E345&lt;DATE(2018,7,1),"-",INDEX('Annual Inflation'!$AM$53:$BA$53, MATCH(YEAR(EOMONTH($E345,6)), 'Annual Inflation'!$AM$6:$BA$6, 0))/100)</f>
        <v>1.960504241247718E-2</v>
      </c>
      <c r="K345" s="257">
        <f>IF($E345&lt;DATE(2018,7,1),"-",INDEX('Annual Inflation'!$AM$50:$BA$50, MATCH(YEAR(EOMONTH($E345,6)), 'Annual Inflation'!$AM$6:$BA$6, 0))/100)</f>
        <v>2.8576541255967536E-2</v>
      </c>
      <c r="L345" s="258">
        <f t="shared" si="29"/>
        <v>141.27924744483138</v>
      </c>
      <c r="M345" s="258">
        <f t="shared" si="30"/>
        <v>429.83457140550229</v>
      </c>
      <c r="N345" s="258">
        <f t="shared" si="31"/>
        <v>409.82205287464632</v>
      </c>
    </row>
    <row r="346" spans="5:14" ht="15">
      <c r="E346" s="248">
        <v>46631</v>
      </c>
      <c r="F346" s="323">
        <f t="shared" si="27"/>
        <v>46660</v>
      </c>
      <c r="G346" s="159">
        <f t="shared" si="28"/>
        <v>2028</v>
      </c>
      <c r="H346" s="500"/>
      <c r="I346" s="500"/>
      <c r="J346" s="257">
        <f>IF($E346&lt;DATE(2018,7,1),"-",INDEX('Annual Inflation'!$AM$53:$BA$53, MATCH(YEAR(EOMONTH($E346,6)), 'Annual Inflation'!$AM$6:$BA$6, 0))/100)</f>
        <v>1.960504241247718E-2</v>
      </c>
      <c r="K346" s="257">
        <f>IF($E346&lt;DATE(2018,7,1),"-",INDEX('Annual Inflation'!$AM$50:$BA$50, MATCH(YEAR(EOMONTH($E346,6)), 'Annual Inflation'!$AM$6:$BA$6, 0))/100)</f>
        <v>2.8576541255967536E-2</v>
      </c>
      <c r="L346" s="258">
        <f t="shared" si="29"/>
        <v>141.50801450127497</v>
      </c>
      <c r="M346" s="258">
        <f t="shared" si="30"/>
        <v>430.84500329738773</v>
      </c>
      <c r="N346" s="258">
        <f t="shared" si="31"/>
        <v>410.48565907582179</v>
      </c>
    </row>
    <row r="347" spans="5:14" ht="15">
      <c r="E347" s="248">
        <v>46661</v>
      </c>
      <c r="F347" s="323">
        <f t="shared" si="27"/>
        <v>46691</v>
      </c>
      <c r="G347" s="159">
        <f t="shared" si="28"/>
        <v>2028</v>
      </c>
      <c r="H347" s="500"/>
      <c r="I347" s="500"/>
      <c r="J347" s="257">
        <f>IF($E347&lt;DATE(2018,7,1),"-",INDEX('Annual Inflation'!$AM$53:$BA$53, MATCH(YEAR(EOMONTH($E347,6)), 'Annual Inflation'!$AM$6:$BA$6, 0))/100)</f>
        <v>1.960504241247718E-2</v>
      </c>
      <c r="K347" s="257">
        <f>IF($E347&lt;DATE(2018,7,1),"-",INDEX('Annual Inflation'!$AM$50:$BA$50, MATCH(YEAR(EOMONTH($E347,6)), 'Annual Inflation'!$AM$6:$BA$6, 0))/100)</f>
        <v>2.8576541255967536E-2</v>
      </c>
      <c r="L347" s="258">
        <f t="shared" si="29"/>
        <v>141.73715198980295</v>
      </c>
      <c r="M347" s="258">
        <f t="shared" si="30"/>
        <v>431.85781045798365</v>
      </c>
      <c r="N347" s="258">
        <f t="shared" si="31"/>
        <v>411.15033982432129</v>
      </c>
    </row>
    <row r="348" spans="5:14" ht="15">
      <c r="E348" s="248">
        <v>46692</v>
      </c>
      <c r="F348" s="323">
        <f t="shared" si="27"/>
        <v>46721</v>
      </c>
      <c r="G348" s="159">
        <f t="shared" si="28"/>
        <v>2028</v>
      </c>
      <c r="H348" s="500"/>
      <c r="I348" s="500"/>
      <c r="J348" s="257">
        <f>IF($E348&lt;DATE(2018,7,1),"-",INDEX('Annual Inflation'!$AM$53:$BA$53, MATCH(YEAR(EOMONTH($E348,6)), 'Annual Inflation'!$AM$6:$BA$6, 0))/100)</f>
        <v>1.960504241247718E-2</v>
      </c>
      <c r="K348" s="257">
        <f>IF($E348&lt;DATE(2018,7,1),"-",INDEX('Annual Inflation'!$AM$50:$BA$50, MATCH(YEAR(EOMONTH($E348,6)), 'Annual Inflation'!$AM$6:$BA$6, 0))/100)</f>
        <v>2.8576541255967536E-2</v>
      </c>
      <c r="L348" s="258">
        <f t="shared" si="29"/>
        <v>141.96666051023917</v>
      </c>
      <c r="M348" s="258">
        <f t="shared" si="30"/>
        <v>432.8729984709434</v>
      </c>
      <c r="N348" s="258">
        <f t="shared" si="31"/>
        <v>411.81609686011041</v>
      </c>
    </row>
    <row r="349" spans="5:14" ht="15">
      <c r="E349" s="248">
        <v>46722</v>
      </c>
      <c r="F349" s="323">
        <f t="shared" si="27"/>
        <v>46752</v>
      </c>
      <c r="G349" s="159">
        <f t="shared" si="28"/>
        <v>2028</v>
      </c>
      <c r="H349" s="500"/>
      <c r="I349" s="500"/>
      <c r="J349" s="257">
        <f>IF($E349&lt;DATE(2018,7,1),"-",INDEX('Annual Inflation'!$AM$53:$BA$53, MATCH(YEAR(EOMONTH($E349,6)), 'Annual Inflation'!$AM$6:$BA$6, 0))/100)</f>
        <v>1.960504241247718E-2</v>
      </c>
      <c r="K349" s="257">
        <f>IF($E349&lt;DATE(2018,7,1),"-",INDEX('Annual Inflation'!$AM$50:$BA$50, MATCH(YEAR(EOMONTH($E349,6)), 'Annual Inflation'!$AM$6:$BA$6, 0))/100)</f>
        <v>2.8576541255967536E-2</v>
      </c>
      <c r="L349" s="258">
        <f t="shared" si="29"/>
        <v>142.19654066337867</v>
      </c>
      <c r="M349" s="258">
        <f t="shared" si="30"/>
        <v>433.89057293304614</v>
      </c>
      <c r="N349" s="258">
        <f t="shared" si="31"/>
        <v>412.48293192597214</v>
      </c>
    </row>
    <row r="350" spans="5:14" ht="15">
      <c r="E350" s="248">
        <v>46753</v>
      </c>
      <c r="F350" s="323">
        <f t="shared" si="27"/>
        <v>46783</v>
      </c>
      <c r="G350" s="159">
        <f t="shared" si="28"/>
        <v>2028</v>
      </c>
      <c r="H350" s="500"/>
      <c r="I350" s="500"/>
      <c r="J350" s="257">
        <f>IF($E350&lt;DATE(2018,7,1),"-",INDEX('Annual Inflation'!$AM$53:$BA$53, MATCH(YEAR(EOMONTH($E350,6)), 'Annual Inflation'!$AM$6:$BA$6, 0))/100)</f>
        <v>1.960504241247718E-2</v>
      </c>
      <c r="K350" s="257">
        <f>IF($E350&lt;DATE(2018,7,1),"-",INDEX('Annual Inflation'!$AM$50:$BA$50, MATCH(YEAR(EOMONTH($E350,6)), 'Annual Inflation'!$AM$6:$BA$6, 0))/100)</f>
        <v>2.8576541255967536E-2</v>
      </c>
      <c r="L350" s="258">
        <f t="shared" si="29"/>
        <v>142.4267930509894</v>
      </c>
      <c r="M350" s="258">
        <f t="shared" si="30"/>
        <v>434.9105394542276</v>
      </c>
      <c r="N350" s="258">
        <f t="shared" si="31"/>
        <v>413.15084676751155</v>
      </c>
    </row>
    <row r="351" spans="5:14" ht="15">
      <c r="E351" s="248">
        <v>46784</v>
      </c>
      <c r="F351" s="323">
        <f t="shared" si="27"/>
        <v>46812</v>
      </c>
      <c r="G351" s="159">
        <f t="shared" si="28"/>
        <v>2028</v>
      </c>
      <c r="H351" s="500"/>
      <c r="I351" s="500"/>
      <c r="J351" s="257">
        <f>IF($E351&lt;DATE(2018,7,1),"-",INDEX('Annual Inflation'!$AM$53:$BA$53, MATCH(YEAR(EOMONTH($E351,6)), 'Annual Inflation'!$AM$6:$BA$6, 0))/100)</f>
        <v>1.960504241247718E-2</v>
      </c>
      <c r="K351" s="257">
        <f>IF($E351&lt;DATE(2018,7,1),"-",INDEX('Annual Inflation'!$AM$50:$BA$50, MATCH(YEAR(EOMONTH($E351,6)), 'Annual Inflation'!$AM$6:$BA$6, 0))/100)</f>
        <v>2.8576541255967536E-2</v>
      </c>
      <c r="L351" s="258">
        <f t="shared" si="29"/>
        <v>142.65741827581371</v>
      </c>
      <c r="M351" s="258">
        <f t="shared" si="30"/>
        <v>435.93290365761106</v>
      </c>
      <c r="N351" s="258">
        <f t="shared" si="31"/>
        <v>413.81984313316025</v>
      </c>
    </row>
    <row r="352" spans="5:14" ht="15">
      <c r="E352" s="248">
        <v>46813</v>
      </c>
      <c r="F352" s="323">
        <f t="shared" si="27"/>
        <v>46843</v>
      </c>
      <c r="G352" s="159">
        <f t="shared" si="28"/>
        <v>2028</v>
      </c>
      <c r="H352" s="500"/>
      <c r="I352" s="500"/>
      <c r="J352" s="257">
        <f>IF($E352&lt;DATE(2018,7,1),"-",INDEX('Annual Inflation'!$AM$53:$BA$53, MATCH(YEAR(EOMONTH($E352,6)), 'Annual Inflation'!$AM$6:$BA$6, 0))/100)</f>
        <v>1.960504241247718E-2</v>
      </c>
      <c r="K352" s="257">
        <f>IF($E352&lt;DATE(2018,7,1),"-",INDEX('Annual Inflation'!$AM$50:$BA$50, MATCH(YEAR(EOMONTH($E352,6)), 'Annual Inflation'!$AM$6:$BA$6, 0))/100)</f>
        <v>2.8576541255967536E-2</v>
      </c>
      <c r="L352" s="258">
        <f t="shared" si="29"/>
        <v>142.88841694156991</v>
      </c>
      <c r="M352" s="258">
        <f t="shared" si="30"/>
        <v>436.95767117953829</v>
      </c>
      <c r="N352" s="258">
        <f t="shared" si="31"/>
        <v>414.48992277418103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1304</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1305</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1306</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1307</v>
      </c>
      <c r="I6" s="277" t="str">
        <f>IF(I7&gt;0,I7&amp;" ERRORS","OK")</f>
        <v>OK</v>
      </c>
      <c r="AQ6" s="270"/>
    </row>
    <row r="7" spans="1:51">
      <c r="E7" s="82" t="s">
        <v>1308</v>
      </c>
      <c r="I7" s="184">
        <f>COUNTIF($I$10:$I$18,FALSE)</f>
        <v>0</v>
      </c>
      <c r="AQ7" s="270"/>
    </row>
    <row r="8" spans="1:51">
      <c r="AQ8" s="270"/>
    </row>
    <row r="9" spans="1:51">
      <c r="AQ9" s="270"/>
    </row>
    <row r="10" spans="1:51">
      <c r="B10" s="22" t="s">
        <v>1309</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855</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1310</v>
      </c>
      <c r="I14" s="277" t="b">
        <f>ABS(SUM(AJ14:AV14) - 0) &lt; 0.001</f>
        <v>1</v>
      </c>
      <c r="AJ14" s="2"/>
      <c r="AK14" s="2"/>
      <c r="AL14" s="2"/>
      <c r="AM14" s="2"/>
      <c r="AN14" s="2"/>
      <c r="AO14" s="2"/>
      <c r="AP14" s="2"/>
      <c r="AQ14" s="549"/>
      <c r="AR14" s="2"/>
      <c r="AS14" s="2"/>
      <c r="AT14" s="2"/>
      <c r="AU14" s="2"/>
      <c r="AV14" s="2">
        <f>InputSummary!AP381</f>
        <v>0</v>
      </c>
    </row>
    <row r="15" spans="1:51">
      <c r="AJ15" s="2"/>
      <c r="AK15" s="2"/>
      <c r="AL15" s="2"/>
      <c r="AM15" s="2"/>
      <c r="AN15" s="2"/>
      <c r="AO15" s="2"/>
      <c r="AP15" s="2"/>
      <c r="AQ15" s="549"/>
      <c r="AR15" s="2"/>
      <c r="AS15" s="2"/>
      <c r="AT15" s="2"/>
      <c r="AU15" s="2"/>
      <c r="AV15" s="2"/>
    </row>
    <row r="16" spans="1:51">
      <c r="B16" s="22" t="s">
        <v>1311</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965</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57" priority="25">
      <formula>$I$7=0</formula>
    </cfRule>
    <cfRule type="expression" dxfId="356" priority="26">
      <formula>$I$7&gt;0</formula>
    </cfRule>
  </conditionalFormatting>
  <conditionalFormatting sqref="I12:I14">
    <cfRule type="cellIs" dxfId="355" priority="21" operator="equal">
      <formula>TRUE</formula>
    </cfRule>
    <cfRule type="cellIs" dxfId="354" priority="22" operator="equal">
      <formula>FALSE</formula>
    </cfRule>
  </conditionalFormatting>
  <conditionalFormatting sqref="I18">
    <cfRule type="cellIs" dxfId="353" priority="13" operator="equal">
      <formula>TRUE</formula>
    </cfRule>
    <cfRule type="cellIs" dxfId="352" priority="14" operator="equal">
      <formula>FALSE</formula>
    </cfRule>
  </conditionalFormatting>
  <conditionalFormatting sqref="AM3">
    <cfRule type="expression" dxfId="351" priority="29">
      <formula>$I$7=0</formula>
    </cfRule>
    <cfRule type="expression" dxfId="350"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3"/>
  <sheetViews>
    <sheetView topLeftCell="A234" zoomScale="85" zoomScaleNormal="85" workbookViewId="0">
      <selection activeCell="AT267" sqref="AT267"/>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spans="1:50" ht="19.5">
      <c r="A1" s="195" t="s">
        <v>28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20.02</v>
      </c>
      <c r="AS15" s="528">
        <v>31.41</v>
      </c>
      <c r="AT15" s="528">
        <v>26.99</v>
      </c>
      <c r="AU15" s="528">
        <v>16.87</v>
      </c>
      <c r="AV15" s="528">
        <v>17.5</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39.53</v>
      </c>
      <c r="AS16" s="528">
        <v>40.75</v>
      </c>
      <c r="AT16" s="528">
        <v>44.32</v>
      </c>
      <c r="AU16" s="528">
        <v>41.74</v>
      </c>
      <c r="AV16" s="528">
        <v>40.33</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41.7</v>
      </c>
      <c r="AS17" s="528">
        <v>34.9</v>
      </c>
      <c r="AT17" s="528">
        <v>31.91</v>
      </c>
      <c r="AU17" s="528">
        <v>18.78</v>
      </c>
      <c r="AV17" s="528">
        <v>15.87</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28.57</v>
      </c>
      <c r="AS18" s="528">
        <v>28.55</v>
      </c>
      <c r="AT18" s="528">
        <v>29.45</v>
      </c>
      <c r="AU18" s="528">
        <v>30.05</v>
      </c>
      <c r="AV18" s="528">
        <v>29.9</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5.43</v>
      </c>
      <c r="AS19" s="528">
        <v>5.42</v>
      </c>
      <c r="AT19" s="528">
        <v>5.4</v>
      </c>
      <c r="AU19" s="528">
        <v>5.28</v>
      </c>
      <c r="AV19" s="528">
        <v>5.2</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15.4</v>
      </c>
      <c r="AS20" s="528">
        <v>15.34</v>
      </c>
      <c r="AT20" s="528">
        <v>15.24</v>
      </c>
      <c r="AU20" s="528">
        <v>14.92</v>
      </c>
      <c r="AV20" s="528">
        <v>14.69</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117.34</v>
      </c>
      <c r="AS21" s="528">
        <v>116.53</v>
      </c>
      <c r="AT21" s="528">
        <v>113.8</v>
      </c>
      <c r="AU21" s="528">
        <v>113.02</v>
      </c>
      <c r="AV21" s="528">
        <v>111.48</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1312</v>
      </c>
      <c r="F24" s="82"/>
      <c r="G24" s="82" t="s">
        <v>105</v>
      </c>
      <c r="H24" s="82" t="s">
        <v>1313</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-2.694059999999999</v>
      </c>
      <c r="AS24" s="207" cm="1">
        <f t="array" ref="AS24">(SUM(AS15:AS21)+SUMPRODUCT((AS$26:AS$71)*($AL$76:$AL$121="RPEs Apply")*($AM$76:$AM$121=1))) * (AS$223-1)</f>
        <v>0.30258899999996663</v>
      </c>
      <c r="AT24" s="207" cm="1">
        <f t="array" ref="AT24">(SUM(AT15:AT21)+SUMPRODUCT((AT$26:AT$71)*($AL$76:$AL$121="RPEs Apply")*($AM$76:$AM$121=1))) * (AT$223-1)</f>
        <v>3.3624299999999958</v>
      </c>
      <c r="AU24" s="207" cm="1">
        <f t="array" ref="AU24">(SUM(AU15:AU21)+SUMPRODUCT((AU$26:AU$71)*($AL$76:$AL$121="RPEs Apply")*($AM$76:$AM$121=1))) * (AU$223-1)</f>
        <v>6.0644439999999991</v>
      </c>
      <c r="AV24" s="207" cm="1">
        <f t="array" ref="AV24">(SUM(AV15:AV21)+SUMPRODUCT((AV$26:AV$71)*($AL$76:$AL$121="RPEs Apply")*($AM$76:$AM$121=1))) * (AV$223-1)</f>
        <v>8.9330579999999884</v>
      </c>
      <c r="AW24" s="184"/>
      <c r="AX24" s="258"/>
    </row>
    <row r="25" spans="1:50" ht="15">
      <c r="A25" s="82"/>
      <c r="B25" s="82"/>
      <c r="C25" s="82"/>
      <c r="D25" s="82"/>
      <c r="E25" s="82" t="s">
        <v>1314</v>
      </c>
      <c r="F25" s="82"/>
      <c r="G25" s="82" t="s">
        <v>105</v>
      </c>
      <c r="H25" s="82" t="s">
        <v>1313</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-0.10551196864411216</v>
      </c>
      <c r="AS25" s="207" cm="1">
        <f t="array" ref="AS25">SUMPRODUCT((AS$26:AS$71)*($AL$76:$AL$121="RPEs Apply")*($AM$76:$AM$121=2)) * (AS$223-1)</f>
        <v>1.2982184737719003E-2</v>
      </c>
      <c r="AT25" s="207" cm="1">
        <f t="array" ref="AT25">SUMPRODUCT((AT$26:AT$71)*($AL$76:$AL$121="RPEs Apply")*($AM$76:$AM$121=2)) * (AT$223-1)</f>
        <v>0.1905815233674025</v>
      </c>
      <c r="AU25" s="207" cm="1">
        <f t="array" ref="AU25">SUMPRODUCT((AU$26:AU$71)*($AL$76:$AL$121="RPEs Apply")*($AM$76:$AM$121=2)) * (AU$223-1)</f>
        <v>0.28737365575449114</v>
      </c>
      <c r="AV25" s="207" cm="1">
        <f t="array" ref="AV25">SUMPRODUCT((AV$26:AV$71)*($AL$76:$AL$121="RPEs Apply")*($AM$76:$AM$121=2)) * (AV$223-1)</f>
        <v>0.55621991672182669</v>
      </c>
      <c r="AW25" s="184"/>
      <c r="AX25" s="258"/>
    </row>
    <row r="26" spans="1:50" ht="15">
      <c r="A26" s="82"/>
      <c r="B26" s="82"/>
      <c r="C26" s="82"/>
      <c r="D26" s="82"/>
      <c r="E26" s="82" t="s">
        <v>1315</v>
      </c>
      <c r="F26" s="82"/>
      <c r="G26" s="82" t="s">
        <v>105</v>
      </c>
      <c r="H26" s="82" t="s">
        <v>1316</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v>
      </c>
      <c r="AU26" s="476">
        <v>0</v>
      </c>
      <c r="AV26" s="476">
        <v>0</v>
      </c>
      <c r="AW26" s="184"/>
      <c r="AX26" s="258"/>
    </row>
    <row r="27" spans="1:50" ht="15">
      <c r="A27" s="82"/>
      <c r="B27" s="82"/>
      <c r="C27" s="82"/>
      <c r="D27" s="82"/>
      <c r="E27" s="82" t="s">
        <v>1317</v>
      </c>
      <c r="F27" s="82"/>
      <c r="G27" s="82" t="s">
        <v>105</v>
      </c>
      <c r="H27" s="82" t="s">
        <v>1318</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1319</v>
      </c>
      <c r="F28" s="82"/>
      <c r="G28" s="82" t="s">
        <v>105</v>
      </c>
      <c r="H28" s="82" t="s">
        <v>1320</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1321</v>
      </c>
      <c r="F29" s="82"/>
      <c r="G29" s="82" t="s">
        <v>105</v>
      </c>
      <c r="H29" s="82" t="s">
        <v>1322</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1323</v>
      </c>
      <c r="F30" s="82"/>
      <c r="G30" s="82" t="s">
        <v>105</v>
      </c>
      <c r="H30" s="82" t="s">
        <v>1324</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1325</v>
      </c>
      <c r="F31" s="82"/>
      <c r="G31" s="82" t="s">
        <v>105</v>
      </c>
      <c r="H31" s="82" t="s">
        <v>1326</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0.38956539780320992</v>
      </c>
      <c r="AT31" s="476">
        <v>1.1686961934096205</v>
      </c>
      <c r="AU31" s="476">
        <v>2.337392386819241</v>
      </c>
      <c r="AV31" s="476">
        <v>0</v>
      </c>
      <c r="AW31" s="184"/>
      <c r="AX31" s="258"/>
    </row>
    <row r="32" spans="1:50" ht="15">
      <c r="A32" s="82"/>
      <c r="B32" s="82"/>
      <c r="C32" s="82"/>
      <c r="D32" s="82"/>
      <c r="E32" s="82" t="s">
        <v>1327</v>
      </c>
      <c r="F32" s="82"/>
      <c r="G32" s="82" t="s">
        <v>105</v>
      </c>
      <c r="H32" s="82" t="s">
        <v>1328</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1329</v>
      </c>
      <c r="F33" s="82"/>
      <c r="G33" s="82" t="s">
        <v>105</v>
      </c>
      <c r="H33" s="82" t="s">
        <v>1330</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34.97</v>
      </c>
      <c r="AS33" s="476">
        <v>36.119999999999997</v>
      </c>
      <c r="AT33" s="476">
        <v>37.39</v>
      </c>
      <c r="AU33" s="476">
        <v>35.880000000000003</v>
      </c>
      <c r="AV33" s="476">
        <v>33.5</v>
      </c>
      <c r="AW33" s="184"/>
      <c r="AX33" s="258"/>
    </row>
    <row r="34" spans="1:50" ht="15">
      <c r="A34" s="82"/>
      <c r="B34" s="82"/>
      <c r="C34" s="82"/>
      <c r="D34" s="82"/>
      <c r="E34" s="82" t="s">
        <v>1331</v>
      </c>
      <c r="F34" s="82"/>
      <c r="G34" s="82" t="s">
        <v>105</v>
      </c>
      <c r="H34" s="82" t="s">
        <v>1332</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4.688060613712743</v>
      </c>
      <c r="AS34" s="476">
        <v>3.4258453931345025</v>
      </c>
      <c r="AT34" s="476">
        <v>4.1764492454201383</v>
      </c>
      <c r="AU34" s="476">
        <v>5.3930657023653854</v>
      </c>
      <c r="AV34" s="476">
        <v>7.2128204694409881</v>
      </c>
      <c r="AW34" s="184"/>
      <c r="AX34" s="258"/>
    </row>
    <row r="35" spans="1:50" ht="15">
      <c r="A35" s="82"/>
      <c r="B35" s="82"/>
      <c r="C35" s="82"/>
      <c r="D35" s="82"/>
      <c r="E35" s="82" t="s">
        <v>1333</v>
      </c>
      <c r="F35" s="82"/>
      <c r="G35" s="82" t="s">
        <v>105</v>
      </c>
      <c r="H35" s="82" t="s">
        <v>1334</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4.8996620333747156</v>
      </c>
      <c r="AS35" s="476">
        <v>5.4124963481908734</v>
      </c>
      <c r="AT35" s="476">
        <v>7.0040776715318964</v>
      </c>
      <c r="AU35" s="476">
        <v>8.3975493798681349</v>
      </c>
      <c r="AV35" s="476">
        <v>10.964300992056639</v>
      </c>
      <c r="AW35" s="184"/>
      <c r="AX35" s="258"/>
    </row>
    <row r="36" spans="1:50" ht="15">
      <c r="A36" s="82"/>
      <c r="B36" s="82"/>
      <c r="C36" s="82"/>
      <c r="D36" s="82"/>
      <c r="E36" s="82" t="s">
        <v>1335</v>
      </c>
      <c r="F36" s="82"/>
      <c r="G36" s="82" t="s">
        <v>105</v>
      </c>
      <c r="H36" s="82" t="s">
        <v>1336</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4.1708850481032158</v>
      </c>
      <c r="AS36" s="476">
        <v>7.4780350457667035</v>
      </c>
      <c r="AT36" s="476">
        <v>23.409140580153817</v>
      </c>
      <c r="AU36" s="476">
        <v>30.015234769941479</v>
      </c>
      <c r="AV36" s="476">
        <v>34.953365752494932</v>
      </c>
      <c r="AW36" s="184"/>
    </row>
    <row r="37" spans="1:50" ht="15">
      <c r="A37" s="82"/>
      <c r="B37" s="82"/>
      <c r="C37" s="82"/>
      <c r="D37" s="82"/>
      <c r="E37" s="82" t="s">
        <v>1337</v>
      </c>
      <c r="F37" s="82"/>
      <c r="G37" s="82" t="s">
        <v>105</v>
      </c>
      <c r="H37" s="82" t="s">
        <v>1338</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2.3715183156668016</v>
      </c>
      <c r="AT37" s="476">
        <v>0.79050610522226716</v>
      </c>
      <c r="AU37" s="476">
        <v>0.7072949362515023</v>
      </c>
      <c r="AV37" s="476">
        <v>1.4024354320915445E-2</v>
      </c>
      <c r="AW37" s="184"/>
    </row>
    <row r="38" spans="1:50" ht="15">
      <c r="A38" s="82"/>
      <c r="B38" s="82"/>
      <c r="C38" s="82"/>
      <c r="D38" s="82"/>
      <c r="E38" s="82" t="s">
        <v>1339</v>
      </c>
      <c r="F38" s="82"/>
      <c r="G38" s="82" t="s">
        <v>105</v>
      </c>
      <c r="H38" s="82" t="s">
        <v>1340</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3.4384463213214569</v>
      </c>
      <c r="AS38" s="476">
        <v>5.5863079672528828</v>
      </c>
      <c r="AT38" s="476">
        <v>7.5039361582835298</v>
      </c>
      <c r="AU38" s="476">
        <v>0.43580351947396673</v>
      </c>
      <c r="AV38" s="476">
        <v>0</v>
      </c>
      <c r="AW38" s="184"/>
    </row>
    <row r="39" spans="1:50" ht="15">
      <c r="A39" s="82"/>
      <c r="B39" s="82"/>
      <c r="C39" s="82"/>
      <c r="D39" s="82"/>
      <c r="E39" s="82" t="s">
        <v>1341</v>
      </c>
      <c r="F39" s="82"/>
      <c r="G39" s="82" t="s">
        <v>105</v>
      </c>
      <c r="H39" s="82" t="s">
        <v>1342</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1.0716019323746644</v>
      </c>
      <c r="AS39" s="476">
        <v>1.4092917830928826</v>
      </c>
      <c r="AT39" s="476">
        <v>1.4092917830928808</v>
      </c>
      <c r="AU39" s="476">
        <v>1.2731308852527041</v>
      </c>
      <c r="AV39" s="476">
        <v>1.2481675345614747</v>
      </c>
      <c r="AW39" s="184"/>
    </row>
    <row r="40" spans="1:50" ht="15">
      <c r="A40" s="82"/>
      <c r="B40" s="82"/>
      <c r="C40" s="82"/>
      <c r="D40" s="82"/>
      <c r="E40" s="82" t="s">
        <v>1343</v>
      </c>
      <c r="F40" s="82"/>
      <c r="G40" s="82" t="s">
        <v>105</v>
      </c>
      <c r="H40" s="82" t="s">
        <v>1344</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1.79</v>
      </c>
      <c r="AS40" s="476">
        <v>1.78</v>
      </c>
      <c r="AT40" s="476">
        <v>0.77</v>
      </c>
      <c r="AU40" s="476">
        <v>0.77</v>
      </c>
      <c r="AV40" s="476">
        <v>0.77</v>
      </c>
      <c r="AW40" s="184"/>
    </row>
    <row r="41" spans="1:50" ht="15">
      <c r="A41" s="82"/>
      <c r="B41" s="82"/>
      <c r="C41" s="82"/>
      <c r="D41" s="82"/>
      <c r="E41" s="82" t="s">
        <v>1345</v>
      </c>
      <c r="F41" s="82"/>
      <c r="G41" s="82" t="s">
        <v>105</v>
      </c>
      <c r="H41" s="82" t="s">
        <v>1346</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6.2</v>
      </c>
      <c r="AS41" s="476">
        <v>2.3899999999999997</v>
      </c>
      <c r="AT41" s="476">
        <v>1.6979089369759213</v>
      </c>
      <c r="AU41" s="476">
        <v>1.2679089369759211</v>
      </c>
      <c r="AV41" s="476">
        <v>1.1679089369759212</v>
      </c>
      <c r="AW41" s="184"/>
    </row>
    <row r="42" spans="1:50" ht="15">
      <c r="A42" s="82"/>
      <c r="B42" s="82"/>
      <c r="C42" s="82"/>
      <c r="D42" s="82"/>
      <c r="E42" s="82" t="s">
        <v>1347</v>
      </c>
      <c r="F42" s="82"/>
      <c r="G42" s="82" t="s">
        <v>105</v>
      </c>
      <c r="H42" s="82" t="s">
        <v>1348</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5.35</v>
      </c>
      <c r="AS42" s="476">
        <v>2.4400000000000004</v>
      </c>
      <c r="AT42" s="476">
        <v>2.7265273250103745</v>
      </c>
      <c r="AU42" s="476">
        <v>2.2565273250103743</v>
      </c>
      <c r="AV42" s="476">
        <v>2.2565273250103743</v>
      </c>
      <c r="AW42" s="184"/>
    </row>
    <row r="43" spans="1:50" ht="15">
      <c r="A43" s="82"/>
      <c r="B43" s="82"/>
      <c r="C43" s="82"/>
      <c r="D43" s="82"/>
      <c r="E43" s="82" t="s">
        <v>1349</v>
      </c>
      <c r="F43" s="82"/>
      <c r="G43" s="82" t="s">
        <v>105</v>
      </c>
      <c r="H43" s="82" t="s">
        <v>1350</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5">
      <c r="A44" s="82"/>
      <c r="B44" s="82"/>
      <c r="C44" s="82"/>
      <c r="D44" s="82"/>
      <c r="E44" s="82" t="s">
        <v>113</v>
      </c>
      <c r="F44" s="82"/>
      <c r="G44" s="82" t="s">
        <v>105</v>
      </c>
      <c r="H44" s="82" t="s">
        <v>1351</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5">
      <c r="A45" s="82"/>
      <c r="B45" s="82"/>
      <c r="C45" s="82"/>
      <c r="D45" s="82"/>
      <c r="E45" s="82" t="s">
        <v>1352</v>
      </c>
      <c r="F45" s="82"/>
      <c r="G45" s="82" t="s">
        <v>105</v>
      </c>
      <c r="H45" s="82" t="s">
        <v>1353</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5">
      <c r="A46" s="82"/>
      <c r="B46" s="82"/>
      <c r="C46" s="82"/>
      <c r="D46" s="82"/>
      <c r="E46" s="82" t="s">
        <v>1354</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5">
      <c r="A47" s="82"/>
      <c r="B47" s="82"/>
      <c r="C47" s="82"/>
      <c r="D47" s="82"/>
      <c r="E47" s="82" t="s">
        <v>1355</v>
      </c>
      <c r="F47" s="82"/>
      <c r="G47" s="82" t="s">
        <v>105</v>
      </c>
      <c r="H47" s="82" t="s">
        <v>1356</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5">
      <c r="A48" s="82"/>
      <c r="B48" s="82"/>
      <c r="C48" s="82"/>
      <c r="D48" s="82"/>
      <c r="E48" s="82" t="s">
        <v>1357</v>
      </c>
      <c r="F48" s="82"/>
      <c r="G48" s="82" t="s">
        <v>105</v>
      </c>
      <c r="H48" s="82" t="s">
        <v>1358</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5">
      <c r="A49" s="82"/>
      <c r="B49" s="82"/>
      <c r="C49" s="82"/>
      <c r="D49" s="82"/>
      <c r="E49" s="82" t="s">
        <v>1359</v>
      </c>
      <c r="F49" s="82"/>
      <c r="G49" s="82" t="s">
        <v>105</v>
      </c>
      <c r="H49" s="82" t="s">
        <v>1360</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14.94</v>
      </c>
      <c r="AS49" s="476">
        <v>14.75</v>
      </c>
      <c r="AT49" s="476">
        <v>14.56</v>
      </c>
      <c r="AU49" s="476">
        <v>14.37</v>
      </c>
      <c r="AV49" s="476">
        <v>14.23</v>
      </c>
      <c r="AW49" s="184"/>
    </row>
    <row r="50" spans="1:49" ht="15">
      <c r="A50" s="82"/>
      <c r="B50" s="82"/>
      <c r="C50" s="82"/>
      <c r="D50" s="82"/>
      <c r="E50" s="82" t="s">
        <v>1361</v>
      </c>
      <c r="F50" s="82"/>
      <c r="G50" s="82" t="s">
        <v>105</v>
      </c>
      <c r="H50" s="82" t="s">
        <v>1362</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0.72207608407767954</v>
      </c>
      <c r="AS50" s="476">
        <v>3.2112654871713948</v>
      </c>
      <c r="AT50" s="476">
        <v>3.8277137726551884</v>
      </c>
      <c r="AU50" s="476">
        <v>7.489005207368848</v>
      </c>
      <c r="AV50" s="476">
        <v>5.3587992817172641</v>
      </c>
      <c r="AW50" s="184"/>
    </row>
    <row r="51" spans="1:49" ht="15">
      <c r="A51" s="82"/>
      <c r="B51" s="82"/>
      <c r="C51" s="82"/>
      <c r="D51" s="82"/>
      <c r="E51" s="82" t="s">
        <v>1363</v>
      </c>
      <c r="F51" s="82"/>
      <c r="G51" s="82" t="s">
        <v>105</v>
      </c>
      <c r="H51" s="82" t="s">
        <v>1364</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1365</v>
      </c>
      <c r="F52" s="82"/>
      <c r="G52" s="82" t="s">
        <v>105</v>
      </c>
      <c r="H52" s="82" t="s">
        <v>1366</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5.15</v>
      </c>
      <c r="AS52" s="476">
        <v>4.42</v>
      </c>
      <c r="AT52" s="476">
        <v>3.66</v>
      </c>
      <c r="AU52" s="476">
        <v>2.46</v>
      </c>
      <c r="AV52" s="476">
        <v>2.44</v>
      </c>
      <c r="AW52" s="184"/>
    </row>
    <row r="53" spans="1:49" ht="15">
      <c r="A53" s="82"/>
      <c r="B53" s="82"/>
      <c r="C53" s="82"/>
      <c r="D53" s="82"/>
      <c r="E53" s="82" t="s">
        <v>1367</v>
      </c>
      <c r="F53" s="82"/>
      <c r="G53" s="82" t="s">
        <v>105</v>
      </c>
      <c r="H53" s="82" t="s">
        <v>1368</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1.880018719094557</v>
      </c>
      <c r="AS53" s="476">
        <v>3.4075764554162702</v>
      </c>
      <c r="AT53" s="476">
        <v>4.0882876818239584</v>
      </c>
      <c r="AU53" s="476">
        <v>5.1186524867859937</v>
      </c>
      <c r="AV53" s="476">
        <v>5.4477872213661556</v>
      </c>
      <c r="AW53" s="184"/>
    </row>
    <row r="54" spans="1:49" ht="15">
      <c r="A54" s="82"/>
      <c r="B54" s="82"/>
      <c r="C54" s="82"/>
      <c r="D54" s="82"/>
      <c r="E54" s="82" t="s">
        <v>1369</v>
      </c>
      <c r="F54" s="82"/>
      <c r="G54" s="82" t="s">
        <v>105</v>
      </c>
      <c r="H54" s="82" t="s">
        <v>1370</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1.4859296310805927</v>
      </c>
      <c r="AS54" s="476">
        <v>1.7621686930059444</v>
      </c>
      <c r="AT54" s="476">
        <v>3.7356840896874317</v>
      </c>
      <c r="AU54" s="476">
        <v>4.7310317840348999</v>
      </c>
      <c r="AV54" s="476">
        <v>5.7380926191111952</v>
      </c>
      <c r="AW54" s="184"/>
    </row>
    <row r="55" spans="1:49" ht="15">
      <c r="A55" s="82"/>
      <c r="B55" s="82"/>
      <c r="C55" s="82"/>
      <c r="D55" s="82"/>
      <c r="E55" s="182" t="s">
        <v>1371</v>
      </c>
      <c r="F55" s="82"/>
      <c r="G55" s="82" t="s">
        <v>105</v>
      </c>
      <c r="H55" s="82" t="s">
        <v>1372</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7.76</v>
      </c>
      <c r="AS55" s="476">
        <v>6.24</v>
      </c>
      <c r="AT55" s="476">
        <v>6.16</v>
      </c>
      <c r="AU55" s="476">
        <v>6.08</v>
      </c>
      <c r="AV55" s="476">
        <v>6.02</v>
      </c>
      <c r="AW55" s="184"/>
    </row>
    <row r="56" spans="1:49" ht="15">
      <c r="A56" s="82"/>
      <c r="B56" s="82"/>
      <c r="C56" s="82"/>
      <c r="D56" s="82"/>
      <c r="E56" s="182" t="s">
        <v>1373</v>
      </c>
      <c r="F56" s="82"/>
      <c r="G56" s="82" t="s">
        <v>105</v>
      </c>
      <c r="H56" s="82" t="s">
        <v>1374</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v>
      </c>
      <c r="AS56" s="476">
        <v>0</v>
      </c>
      <c r="AT56" s="476">
        <v>0</v>
      </c>
      <c r="AU56" s="476">
        <v>0</v>
      </c>
      <c r="AV56" s="476">
        <v>0</v>
      </c>
      <c r="AW56" s="184"/>
    </row>
    <row r="57" spans="1:49" ht="15">
      <c r="A57" s="82"/>
      <c r="B57" s="82"/>
      <c r="C57" s="82"/>
      <c r="D57" s="82"/>
      <c r="E57" s="182" t="s">
        <v>1375</v>
      </c>
      <c r="F57" s="82"/>
      <c r="G57" s="82" t="s">
        <v>105</v>
      </c>
      <c r="H57" s="82" t="s">
        <v>1376</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5">
      <c r="A58" s="82"/>
      <c r="B58" s="82"/>
      <c r="C58" s="82"/>
      <c r="D58" s="82"/>
      <c r="E58" s="182" t="s">
        <v>1377</v>
      </c>
      <c r="F58" s="82"/>
      <c r="G58" s="82" t="s">
        <v>105</v>
      </c>
      <c r="H58" s="82" t="s">
        <v>1378</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3.8956539780320681E-2</v>
      </c>
      <c r="AT58" s="476">
        <v>3.5528364279652456</v>
      </c>
      <c r="AU58" s="476">
        <v>4.0203149053290943</v>
      </c>
      <c r="AV58" s="476">
        <v>12.318057878537399</v>
      </c>
      <c r="AW58" s="184"/>
    </row>
    <row r="59" spans="1:49" ht="15">
      <c r="A59" s="82"/>
      <c r="B59" s="82"/>
      <c r="C59" s="82"/>
      <c r="D59" s="82"/>
      <c r="E59" s="182" t="s">
        <v>1379</v>
      </c>
      <c r="F59" s="82"/>
      <c r="G59" s="82" t="s">
        <v>105</v>
      </c>
      <c r="H59" s="82" t="s">
        <v>1380</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3.2723493415469374E-2</v>
      </c>
      <c r="AS59" s="476">
        <v>3.1165231824253424E-2</v>
      </c>
      <c r="AT59" s="476">
        <v>0.74505239373738474</v>
      </c>
      <c r="AU59" s="476">
        <v>5.2368123313107597</v>
      </c>
      <c r="AV59" s="476">
        <v>7.4672487590323335</v>
      </c>
      <c r="AW59" s="184"/>
    </row>
    <row r="60" spans="1:49" ht="15">
      <c r="A60" s="82"/>
      <c r="B60" s="82"/>
      <c r="C60" s="82"/>
      <c r="D60" s="82"/>
      <c r="E60" s="182" t="s">
        <v>1381</v>
      </c>
      <c r="F60" s="82"/>
      <c r="G60" s="82" t="s">
        <v>105</v>
      </c>
      <c r="H60" s="82" t="s">
        <v>1382</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1383</v>
      </c>
      <c r="F61" s="82"/>
      <c r="G61" s="82" t="s">
        <v>105</v>
      </c>
      <c r="H61" s="82" t="s">
        <v>1384</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1385</v>
      </c>
      <c r="F62" s="82"/>
      <c r="G62" s="82" t="s">
        <v>105</v>
      </c>
      <c r="H62" s="82" t="s">
        <v>1386</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1387</v>
      </c>
      <c r="F63" s="82"/>
      <c r="G63" s="82" t="s">
        <v>105</v>
      </c>
      <c r="H63" s="82" t="s">
        <v>1388</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v>0</v>
      </c>
      <c r="AS64" s="476">
        <v>0</v>
      </c>
      <c r="AT64" s="476">
        <v>0</v>
      </c>
      <c r="AU64" s="476">
        <v>0</v>
      </c>
      <c r="AV64" s="476">
        <v>0</v>
      </c>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v>0</v>
      </c>
      <c r="AS65" s="476">
        <v>0</v>
      </c>
      <c r="AT65" s="476">
        <v>0</v>
      </c>
      <c r="AU65" s="476">
        <v>0</v>
      </c>
      <c r="AV65" s="476">
        <v>0</v>
      </c>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v>0</v>
      </c>
      <c r="AS66" s="476">
        <v>0</v>
      </c>
      <c r="AT66" s="476">
        <v>0</v>
      </c>
      <c r="AU66" s="476">
        <v>0</v>
      </c>
      <c r="AV66" s="476">
        <v>0</v>
      </c>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v>0</v>
      </c>
      <c r="AS67" s="476">
        <v>0</v>
      </c>
      <c r="AT67" s="476">
        <v>0</v>
      </c>
      <c r="AU67" s="476">
        <v>0</v>
      </c>
      <c r="AV67" s="476">
        <v>0</v>
      </c>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v>0</v>
      </c>
      <c r="AS68" s="476">
        <v>0</v>
      </c>
      <c r="AT68" s="476">
        <v>0</v>
      </c>
      <c r="AU68" s="476">
        <v>0</v>
      </c>
      <c r="AV68" s="476">
        <v>0</v>
      </c>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v>0</v>
      </c>
      <c r="AS69" s="476">
        <v>0</v>
      </c>
      <c r="AT69" s="476">
        <v>0</v>
      </c>
      <c r="AU69" s="476">
        <v>0</v>
      </c>
      <c r="AV69" s="476">
        <v>0</v>
      </c>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v>0</v>
      </c>
      <c r="AS70" s="476">
        <v>0</v>
      </c>
      <c r="AT70" s="476">
        <v>0</v>
      </c>
      <c r="AU70" s="476">
        <v>0</v>
      </c>
      <c r="AV70" s="476">
        <v>0</v>
      </c>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v>0</v>
      </c>
      <c r="AS71" s="476">
        <v>0</v>
      </c>
      <c r="AT71" s="476">
        <v>0</v>
      </c>
      <c r="AU71" s="476">
        <v>0</v>
      </c>
      <c r="AV71" s="476">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1312</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1303</v>
      </c>
      <c r="AK74" s="321"/>
      <c r="AL74" s="417"/>
      <c r="AM74" s="528">
        <v>1</v>
      </c>
      <c r="AN74" s="321"/>
      <c r="AO74" s="263" cm="1">
        <f t="array" ref="AO74">(SUMPRODUCT((AO$76:AO$121)*(($AR$26:$AR$71)+($AS$26:$AS$71)+($AT$26:$AT$71)+($AU$26:$AU$71)+($AV$26:$AV$71))*($AL$76:$AL$121="RPEs Apply")*($AM$76:$AM$121=1))+SUM($AR$15:$AV$15))/(SUMPRODUCT((($AR$26:$AR$71)+($AS$26:$AS$71)+($AT$26:$AT$71)+($AU$26:$AU$71)+($AV$26:$AV$71))*($AM$76:$AM$121=1)*($AL$76:$AL$121="RPEs Apply"))+SUM($AR$15:$AV$21))</f>
        <v>0.11670994146899617</v>
      </c>
      <c r="AP74" s="263" cm="1">
        <f t="array" ref="AP74">(SUMPRODUCT((AP$76:AP$121)*(($AR$26:$AR$71)+($AS$26:$AS$71)+($AT$26:$AT$71)+($AU$26:$AU$71)+($AV$26:$AV$71))*($AL$76:$AL$121="RPEs Apply")*($AM$76:$AM$121=1))+SUM($AR$16:$AV$16))/(SUMPRODUCT((($AR$26:$AR$71)+($AS$26:$AS$71)+($AT$26:$AT$71)+($AU$26:$AU$71)+($AV$26:$AV$71))*($AM$76:$AM$121=1)*($AL$76:$AL$121="RPEs Apply"))+SUM($AR$15:$AV$21))</f>
        <v>0.26203154764524306</v>
      </c>
      <c r="AQ74" s="494" cm="1">
        <f t="array" ref="AQ74">(SUMPRODUCT((AQ$76:AQ$121)*(($AR$26:$AR$71)+($AS$26:$AS$71)+($AT$26:$AT$71)+($AU$26:$AU$71)+($AV$26:$AV$71))*($AL$76:$AL$121="RPEs Apply")*($AM$76:$AM$121=1))+SUM($AR$17:$AV$17))/(SUMPRODUCT((($AR$26:$AR$71)+($AS$26:$AS$71)+($AT$26:$AT$71)+($AU$26:$AU$71)+($AV$26:$AV$71))*($AM$76:$AM$121=1)*($AL$76:$AL$121="RPEs Apply"))+SUM($AR$15:$AV$21))</f>
        <v>9.3699901295729318E-2</v>
      </c>
      <c r="AR74" s="263" cm="1">
        <f t="array" ref="AR74">(SUMPRODUCT((AR$76:AR$121)*(($AR$26:$AR$71)+($AS$26:$AS$71)+($AT$26:$AT$71)+($AU$26:$AU$71)+($AV$26:$AV$71))*($AL$76:$AL$121="RPEs Apply")*($AM$76:$AM$121=1))+SUM($AR$18:$AV$18))/(SUMPRODUCT((($AR$26:$AR$71)+($AS$26:$AS$71)+($AT$26:$AT$71)+($AU$26:$AU$71)+($AV$26:$AV$71))*($AM$76:$AM$121=1)*($AL$76:$AL$121="RPEs Apply"))+SUM($AR$15:$AV$21))</f>
        <v>9.2115603447733896E-2</v>
      </c>
      <c r="AS74" s="263" cm="1">
        <f t="array" ref="AS74">(SUMPRODUCT((AS$76:AS$121)*(($AR$26:$AR$71)+($AS$26:$AS$71)+($AT$26:$AT$71)+($AU$26:$AU$71)+($AV$26:$AV$71))*($AL$76:$AL$121="RPEs Apply")*($AM$76:$AM$121=1))+SUM($AR$19:$AV$19))/(SUMPRODUCT((($AR$26:$AR$71)+($AS$26:$AS$71)+($AT$26:$AT$71)+($AU$26:$AU$71)+($AV$26:$AV$71))*($AM$76:$AM$121=1)*($AL$76:$AL$121="RPEs Apply"))+SUM($AR$15:$AV$21))</f>
        <v>1.6804873601951455E-2</v>
      </c>
      <c r="AT74" s="263" cm="1">
        <f t="array" ref="AT74">(SUMPRODUCT((AT$76:AT$121)*(($AR$26:$AR$71)+($AS$26:$AS$71)+($AT$26:$AT$71)+($AU$26:$AU$71)+($AV$26:$AV$71))*($AL$76:$AL$121="RPEs Apply")*($AM$76:$AM$121=1))+SUM($AR$20:$AV$20))/(SUMPRODUCT((($AR$26:$AR$71)+($AS$26:$AS$71)+($AT$26:$AT$71)+($AU$26:$AU$71)+($AV$26:$AV$71))*($AM$76:$AM$121=1)*($AL$76:$AL$121="RPEs Apply"))+SUM($AR$15:$AV$21))</f>
        <v>4.7522648543640494E-2</v>
      </c>
      <c r="AU74" s="263" cm="1">
        <f t="array" ref="AU74">(SUMPRODUCT((AU$76:AU$121)*(($AR$26:$AR$71)+($AS$26:$AS$71)+($AT$26:$AT$71)+($AU$26:$AU$71)+($AV$26:$AV$71))*($AL$76:$AL$121="RPEs Apply")*($AM$76:$AM$121=1))+SUM($AR$21:$AV$21))/(SUMPRODUCT((($AR$26:$AR$71)+($AS$26:$AS$71)+($AT$26:$AT$71)+($AU$26:$AU$71)+($AV$26:$AV$71))*($AM$76:$AM$121=1)*($AL$76:$AL$121="RPEs Apply"))+SUM($AR$15:$AV$21))</f>
        <v>0.37111548399670569</v>
      </c>
      <c r="AV74" s="263">
        <f>SUM(AO74:AU74)</f>
        <v>1</v>
      </c>
      <c r="AW74" s="184"/>
    </row>
    <row r="75" spans="1:49" ht="15">
      <c r="A75" s="82"/>
      <c r="B75" s="82"/>
      <c r="C75" s="82"/>
      <c r="D75" s="82"/>
      <c r="E75" s="82" t="s">
        <v>1314</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1303</v>
      </c>
      <c r="AK75" s="321"/>
      <c r="AL75" s="417"/>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0.78399861910075919</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0.21600138089924087</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1315</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1389</v>
      </c>
      <c r="AK76" s="321"/>
      <c r="AL76" s="417" t="s">
        <v>1390</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1317</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1389</v>
      </c>
      <c r="AK77" s="321"/>
      <c r="AL77" s="417" t="s">
        <v>1390</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1319</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1389</v>
      </c>
      <c r="AK78" s="321"/>
      <c r="AL78" s="417" t="s">
        <v>1390</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1321</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1389</v>
      </c>
      <c r="AK79" s="321"/>
      <c r="AL79" s="417" t="s">
        <v>1390</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1323</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1389</v>
      </c>
      <c r="AK80" s="321"/>
      <c r="AL80" s="417" t="s">
        <v>1390</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1325</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1389</v>
      </c>
      <c r="AK81" s="321"/>
      <c r="AL81" s="417" t="s">
        <v>1390</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1327</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1389</v>
      </c>
      <c r="AK82" s="321"/>
      <c r="AL82" s="417" t="s">
        <v>1390</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1329</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1391</v>
      </c>
      <c r="AK83" s="321"/>
      <c r="AL83" s="417" t="s">
        <v>1392</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1331</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1393</v>
      </c>
      <c r="AK84" s="321"/>
      <c r="AL84" s="417" t="s">
        <v>1392</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1333</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1393</v>
      </c>
      <c r="AK85" s="321"/>
      <c r="AL85" s="417" t="s">
        <v>1392</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1335</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1389</v>
      </c>
      <c r="AK86" s="321"/>
      <c r="AL86" s="417" t="s">
        <v>1390</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1337</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1389</v>
      </c>
      <c r="AK87" s="321"/>
      <c r="AL87" s="417" t="s">
        <v>1390</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1339</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1393</v>
      </c>
      <c r="AK88" s="321"/>
      <c r="AL88" s="417" t="s">
        <v>1392</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1341</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1394</v>
      </c>
      <c r="AK89" s="321"/>
      <c r="AL89" s="417" t="s">
        <v>1390</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1343</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1391</v>
      </c>
      <c r="AK90" s="321"/>
      <c r="AL90" s="417" t="s">
        <v>1392</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1345</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1389</v>
      </c>
      <c r="AK91" s="321"/>
      <c r="AL91" s="417" t="s">
        <v>1390</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1347</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1389</v>
      </c>
      <c r="AK92" s="321"/>
      <c r="AL92" s="417" t="s">
        <v>1390</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1349</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1391</v>
      </c>
      <c r="AK93" s="321"/>
      <c r="AL93" s="417" t="s">
        <v>1392</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1303</v>
      </c>
      <c r="AK94" s="321"/>
      <c r="AL94" s="417" t="s">
        <v>1390</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1352</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1389</v>
      </c>
      <c r="AK95" s="321"/>
      <c r="AL95" s="417" t="s">
        <v>1390</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1354</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1389</v>
      </c>
      <c r="AK96" s="321"/>
      <c r="AL96" s="417" t="s">
        <v>1390</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1355</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1389</v>
      </c>
      <c r="AK97" s="321"/>
      <c r="AL97" s="417" t="s">
        <v>1390</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1357</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1389</v>
      </c>
      <c r="AK98" s="321"/>
      <c r="AL98" s="417" t="s">
        <v>1390</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1359</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1391</v>
      </c>
      <c r="AK99" s="321"/>
      <c r="AL99" s="417" t="s">
        <v>1392</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1361</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1394</v>
      </c>
      <c r="AK100" s="321"/>
      <c r="AL100" s="417" t="s">
        <v>1390</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1363</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1394</v>
      </c>
      <c r="AK101" s="321"/>
      <c r="AL101" s="417" t="s">
        <v>1390</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1365</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1391</v>
      </c>
      <c r="AK102" s="321"/>
      <c r="AL102" s="417" t="s">
        <v>1392</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1367</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1389</v>
      </c>
      <c r="AK103" s="321"/>
      <c r="AL103" s="417" t="s">
        <v>1390</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1369</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1303</v>
      </c>
      <c r="AK104" s="321"/>
      <c r="AL104" s="417" t="s">
        <v>1390</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1371</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1391</v>
      </c>
      <c r="AK105" s="321"/>
      <c r="AL105" s="417" t="s">
        <v>1392</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1373</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1391</v>
      </c>
      <c r="AK106" s="321"/>
      <c r="AL106" s="417" t="s">
        <v>1392</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1375</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1391</v>
      </c>
      <c r="AK107" s="321"/>
      <c r="AL107" s="417" t="s">
        <v>1392</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1377</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1389</v>
      </c>
      <c r="AK108" s="321"/>
      <c r="AL108" s="417" t="s">
        <v>1390</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1379</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1389</v>
      </c>
      <c r="AK109" s="321"/>
      <c r="AL109" s="417" t="s">
        <v>1390</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1381</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1303</v>
      </c>
      <c r="AK110" s="321"/>
      <c r="AL110" s="417" t="s">
        <v>1390</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1383</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1303</v>
      </c>
      <c r="AK111" s="321"/>
      <c r="AL111" s="417" t="s">
        <v>1390</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1385</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1303</v>
      </c>
      <c r="AK112" s="321"/>
      <c r="AL112" s="417" t="s">
        <v>1390</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1387</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1303</v>
      </c>
      <c r="AK113" s="321"/>
      <c r="AL113" s="417" t="s">
        <v>1390</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24.749470504918811</v>
      </c>
      <c r="AS126" s="476">
        <v>56.218596179455034</v>
      </c>
      <c r="AT126" s="476">
        <v>41.975765863528736</v>
      </c>
      <c r="AU126" s="476">
        <v>31.870564315112517</v>
      </c>
      <c r="AV126" s="476">
        <v>32.705033768168164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61.571399470284348</v>
      </c>
      <c r="AS127" s="476">
        <v>77.627001789921152</v>
      </c>
      <c r="AT127" s="476">
        <v>89.13515767610177</v>
      </c>
      <c r="AU127" s="476">
        <v>97.554682164373958</v>
      </c>
      <c r="AV127" s="476">
        <v>93.814685979993811</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34.996172735871681</v>
      </c>
      <c r="AS128" s="476">
        <v>38.843885299746688</v>
      </c>
      <c r="AT128" s="476">
        <v>38.558717256420906</v>
      </c>
      <c r="AU128" s="476">
        <v>31.211406685727638</v>
      </c>
      <c r="AV128" s="476">
        <v>26.127254339102397</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28.902803686529925</v>
      </c>
      <c r="AS129" s="476">
        <v>29.143169208271821</v>
      </c>
      <c r="AT129" s="476">
        <v>30.348755187720009</v>
      </c>
      <c r="AU129" s="476">
        <v>31.266603040578239</v>
      </c>
      <c r="AV129" s="476">
        <v>31.427628083482336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5.4933536209762854</v>
      </c>
      <c r="AS130" s="476">
        <v>5.5344202968291825</v>
      </c>
      <c r="AT130" s="476">
        <v>5.5691940758123835</v>
      </c>
      <c r="AU130" s="476">
        <v>5.4951738695044305</v>
      </c>
      <c r="AV130" s="476">
        <v>5.4611675950459775</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14.548204838695739</v>
      </c>
      <c r="AS131" s="476">
        <v>15.268458777090785</v>
      </c>
      <c r="AT131" s="476">
        <v>15.469376571377039</v>
      </c>
      <c r="AU131" s="476">
        <v>15.583631272058838</v>
      </c>
      <c r="AV131" s="476">
        <v>15.587255036858997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117.9379716643452</v>
      </c>
      <c r="AS132" s="476">
        <v>117.7610772905749</v>
      </c>
      <c r="AT132" s="476">
        <v>119.3093587107489</v>
      </c>
      <c r="AU132" s="476">
        <v>119.48930737611947</v>
      </c>
      <c r="AV132" s="476">
        <v>120.09616618132007</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14.680947141749266</v>
      </c>
      <c r="AS135" s="476">
        <v>17.32433129465927</v>
      </c>
      <c r="AT135" s="476">
        <v>35.703708871658762</v>
      </c>
      <c r="AU135" s="476">
        <v>45.084420276836113</v>
      </c>
      <c r="AV135" s="476">
        <v>54.686707130714382</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4.7505189151546565</v>
      </c>
      <c r="AS136" s="476">
        <v>8.381396778207499</v>
      </c>
      <c r="AT136" s="476">
        <v>12.336862423013248</v>
      </c>
      <c r="AU136" s="476">
        <v>11.577874525915727</v>
      </c>
      <c r="AV136" s="476">
        <v>11.25516331138849</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6.2</v>
      </c>
      <c r="AS137" s="476">
        <v>3.5757591578334003</v>
      </c>
      <c r="AT137" s="476">
        <v>2.0931619895870548</v>
      </c>
      <c r="AU137" s="476">
        <v>1.6215564051016722</v>
      </c>
      <c r="AV137" s="476">
        <v>1.1749211141363789</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3.8956539780320681E-2</v>
      </c>
      <c r="AT138" s="476">
        <v>3.5528364279652456</v>
      </c>
      <c r="AU138" s="476">
        <v>4.0203149053290943</v>
      </c>
      <c r="AV138" s="476">
        <v>12.318057878537399</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5.9228182034741224</v>
      </c>
      <c r="AS141" s="476">
        <v>4.6640051090930461</v>
      </c>
      <c r="AT141" s="476">
        <v>4.367430530677245</v>
      </c>
      <c r="AU141" s="476">
        <v>4.1697642227037326</v>
      </c>
      <c r="AV141" s="476">
        <v>3.923412171180833</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2.2735240796708363</v>
      </c>
      <c r="AS145" s="476">
        <v>2.4655116139045727</v>
      </c>
      <c r="AT145" s="476">
        <v>2.6856080674969047</v>
      </c>
      <c r="AU145" s="476">
        <v>2.9117244873401469</v>
      </c>
      <c r="AV145" s="476">
        <v>3.1277664722150349</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23.337716072506659</v>
      </c>
      <c r="AS146" s="476">
        <v>25.48016950535095</v>
      </c>
      <c r="AT146" s="476">
        <v>26.01164804846783</v>
      </c>
      <c r="AU146" s="476">
        <v>26.314388661676873</v>
      </c>
      <c r="AV146" s="476">
        <v>26.43090615352607</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14.683403384753909</v>
      </c>
      <c r="AS147" s="476">
        <v>14.789754689117771</v>
      </c>
      <c r="AT147" s="476">
        <v>14.118321367776787</v>
      </c>
      <c r="AU147" s="476">
        <v>13.857273899939777</v>
      </c>
      <c r="AV147" s="476">
        <v>13.755774221985543</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2.4259171580012855</v>
      </c>
      <c r="AS148" s="476">
        <v>2.5544029770445507</v>
      </c>
      <c r="AT148" s="476">
        <v>2.6434601746982054</v>
      </c>
      <c r="AU148" s="476">
        <v>2.7153684147863908</v>
      </c>
      <c r="AV148" s="476">
        <v>2.8513641907101754</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1.3252921411428575</v>
      </c>
      <c r="AS149" s="476">
        <v>2.5673795441591727</v>
      </c>
      <c r="AT149" s="476">
        <v>1.1840340559115401</v>
      </c>
      <c r="AU149" s="476">
        <v>1.1978376333088614</v>
      </c>
      <c r="AV149" s="476">
        <v>1.2031183458591979</v>
      </c>
      <c r="AW149" s="184"/>
    </row>
    <row r="150" spans="1:49" ht="15">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0</v>
      </c>
      <c r="AS150" s="476">
        <v>0</v>
      </c>
      <c r="AT150" s="476">
        <v>0</v>
      </c>
      <c r="AU150" s="476">
        <v>0</v>
      </c>
      <c r="AV150" s="476">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17.025248309772881</v>
      </c>
      <c r="AS151" s="476">
        <v>0.53033777885688127</v>
      </c>
      <c r="AT151" s="476">
        <v>0</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0</v>
      </c>
      <c r="AS152" s="476">
        <v>0</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-7.2817562255393451</v>
      </c>
      <c r="AT153" s="476">
        <v>0</v>
      </c>
      <c r="AU153" s="476">
        <v>0</v>
      </c>
      <c r="AV153" s="476">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0.78264189999999978</v>
      </c>
      <c r="AS162" s="476">
        <v>0.90005189999999979</v>
      </c>
      <c r="AT162" s="476">
        <v>1.0799288999999999</v>
      </c>
      <c r="AU162" s="476">
        <v>1.1690358999999999</v>
      </c>
      <c r="AV162" s="476">
        <v>1.2162178999999997</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0.83944000000000074</v>
      </c>
      <c r="AS163" s="476">
        <v>1.7838099999999995</v>
      </c>
      <c r="AT163" s="476">
        <v>2.3084600000000068</v>
      </c>
      <c r="AU163" s="476">
        <v>2.6232500000000001</v>
      </c>
      <c r="AV163" s="476">
        <v>2.7281800000000165</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0.2409847004333299</v>
      </c>
      <c r="AS164" s="476">
        <v>1.9787226510486624</v>
      </c>
      <c r="AT164" s="476">
        <v>2.2207209823044827</v>
      </c>
      <c r="AU164" s="476">
        <v>2.4987366846841641</v>
      </c>
      <c r="AV164" s="476">
        <v>2.9051694526791048</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1.8148399999999996</v>
      </c>
      <c r="AT166" s="476">
        <v>0</v>
      </c>
      <c r="AU166" s="476">
        <v>0</v>
      </c>
      <c r="AV166" s="476">
        <v>2.9705560000000002</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v>
      </c>
      <c r="AS167" s="476">
        <v>1.1801999999999992</v>
      </c>
      <c r="AT167" s="476">
        <v>1.5672499999999996</v>
      </c>
      <c r="AU167" s="476">
        <v>1.7703000000000007</v>
      </c>
      <c r="AV167" s="476">
        <v>2.2525499999999989</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0.49</v>
      </c>
      <c r="AS168" s="476">
        <v>0.58799999999999963</v>
      </c>
      <c r="AT168" s="476">
        <v>0.68599999999999928</v>
      </c>
      <c r="AU168" s="476">
        <v>0.78399999999999981</v>
      </c>
      <c r="AV168" s="476">
        <v>0.78399999999999981</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1.6800000000000002</v>
      </c>
      <c r="AS177" s="476">
        <v>1.6800000000000002</v>
      </c>
      <c r="AT177" s="476">
        <v>1.6800000000000002</v>
      </c>
      <c r="AU177" s="476">
        <v>1.6800000000000002</v>
      </c>
      <c r="AV177" s="476">
        <v>1.6799999999999997</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v>
      </c>
      <c r="AS178" s="476">
        <v>0</v>
      </c>
      <c r="AT178" s="476">
        <v>0</v>
      </c>
      <c r="AU178" s="476">
        <v>0</v>
      </c>
      <c r="AV178" s="476">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1395</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0</v>
      </c>
      <c r="AS191" s="476">
        <v>0</v>
      </c>
      <c r="AT191" s="476">
        <v>0</v>
      </c>
      <c r="AU191" s="476">
        <v>0</v>
      </c>
      <c r="AV191" s="476">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0</v>
      </c>
      <c r="AS192" s="476">
        <v>0</v>
      </c>
      <c r="AT192" s="476">
        <v>0</v>
      </c>
      <c r="AU192" s="476">
        <v>0</v>
      </c>
      <c r="AV192" s="476">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11.6596688150736</v>
      </c>
      <c r="AS193" s="476">
        <v>14.2134707728957</v>
      </c>
      <c r="AT193" s="476">
        <v>15.3849395608874</v>
      </c>
      <c r="AU193" s="476">
        <v>15.3849395608874</v>
      </c>
      <c r="AV193" s="476">
        <v>14.2134707728957</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-11.5442265495778</v>
      </c>
      <c r="AS194" s="476">
        <v>-14.0727433395007</v>
      </c>
      <c r="AT194" s="476">
        <v>-15.232613426621199</v>
      </c>
      <c r="AU194" s="476">
        <v>-15.232613426621199</v>
      </c>
      <c r="AV194" s="476">
        <v>-14.0727433395007</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1.84037811629849</v>
      </c>
      <c r="AS195" s="476">
        <v>1.84037811629849</v>
      </c>
      <c r="AT195" s="476">
        <v>1.84037811629849</v>
      </c>
      <c r="AU195" s="476">
        <v>1.84037811629849</v>
      </c>
      <c r="AV195" s="476">
        <v>1.84037811629849</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-1.8221565507905899</v>
      </c>
      <c r="AS196" s="476">
        <v>-1.8221565507905899</v>
      </c>
      <c r="AT196" s="476">
        <v>-1.8221565507905899</v>
      </c>
      <c r="AU196" s="476">
        <v>-1.8221565507905899</v>
      </c>
      <c r="AV196" s="476">
        <v>-1.8221565507905899</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0</v>
      </c>
      <c r="AS205" s="476">
        <v>0</v>
      </c>
      <c r="AT205" s="476">
        <v>0</v>
      </c>
      <c r="AU205" s="476">
        <v>0</v>
      </c>
      <c r="AV205" s="476">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4">
        <v>3.1E-2</v>
      </c>
      <c r="AS211" s="554">
        <v>3.1699999999999999E-2</v>
      </c>
      <c r="AT211" s="554">
        <v>3.2300000000000002E-2</v>
      </c>
      <c r="AU211" s="554">
        <v>3.2399999999999998E-2</v>
      </c>
      <c r="AV211" s="554">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4">
        <v>1.46E-2</v>
      </c>
      <c r="AS213" s="554">
        <v>2.7199999999999998E-2</v>
      </c>
      <c r="AT213" s="554">
        <v>2.4299999999999999E-2</v>
      </c>
      <c r="AU213" s="554">
        <v>2.4899999999999999E-2</v>
      </c>
      <c r="AV213" s="554">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4">
        <v>0.9919</v>
      </c>
      <c r="AS223" s="554">
        <v>1.0008999999999999</v>
      </c>
      <c r="AT223" s="554">
        <v>1.0102</v>
      </c>
      <c r="AU223" s="554">
        <v>1.0202</v>
      </c>
      <c r="AV223" s="554">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v>28.526000944534815</v>
      </c>
      <c r="L250" s="413">
        <v>69.833132182400178</v>
      </c>
      <c r="M250" s="413">
        <v>144.48234244634517</v>
      </c>
      <c r="N250" s="413">
        <v>130.21934197407776</v>
      </c>
      <c r="O250" s="413">
        <v>129.10793933987514</v>
      </c>
      <c r="P250" s="413">
        <v>132.25691347011596</v>
      </c>
      <c r="Q250" s="413">
        <v>138.18439418586345</v>
      </c>
      <c r="R250" s="413">
        <v>168.37749908170227</v>
      </c>
      <c r="S250" s="413">
        <v>180.29446944987433</v>
      </c>
      <c r="T250" s="413">
        <v>165.71182853848742</v>
      </c>
      <c r="U250" s="413">
        <v>143.89240198462886</v>
      </c>
      <c r="V250" s="413">
        <v>131.62425113826984</v>
      </c>
      <c r="W250" s="413">
        <v>152.1201964892596</v>
      </c>
      <c r="X250" s="413">
        <v>179.58715805818156</v>
      </c>
      <c r="Y250" s="413">
        <v>173.32006211906727</v>
      </c>
      <c r="Z250" s="413">
        <v>203.36386369721032</v>
      </c>
      <c r="AA250" s="413">
        <v>128.05389332658407</v>
      </c>
      <c r="AB250" s="413">
        <v>157.80709395436162</v>
      </c>
      <c r="AC250" s="413">
        <v>173.39101420035695</v>
      </c>
      <c r="AD250" s="413">
        <v>158.41065966088121</v>
      </c>
      <c r="AE250" s="413">
        <v>153.73959941493774</v>
      </c>
      <c r="AF250" s="413">
        <v>189.52738762176125</v>
      </c>
      <c r="AG250" s="413">
        <v>198.81414272608728</v>
      </c>
      <c r="AH250" s="413">
        <v>203.91110785164159</v>
      </c>
      <c r="AI250" s="413">
        <v>226.64315013833672</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-0.40331059103414102</v>
      </c>
      <c r="AI252" s="413">
        <v>-5.3845333762148337</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1396</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540.74432200000001</v>
      </c>
      <c r="AS265" s="476">
        <v>591.86584300000004</v>
      </c>
      <c r="AT265" s="476"/>
      <c r="AU265" s="476"/>
      <c r="AV265" s="476"/>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c r="AS266" s="476"/>
      <c r="AT266" s="476">
        <v>668.77982567635831</v>
      </c>
      <c r="AU266" s="476"/>
      <c r="AV266" s="476"/>
      <c r="AW266" s="184"/>
    </row>
    <row r="267" spans="1:49" ht="15">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v>401.44586337161212</v>
      </c>
      <c r="AU267" s="476"/>
      <c r="AV267" s="476"/>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5">
      <c r="A269" s="82"/>
      <c r="B269" s="82"/>
      <c r="C269" s="82"/>
      <c r="D269" s="82"/>
      <c r="E269" s="82" t="s">
        <v>1397</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c r="AS269" s="476"/>
      <c r="AT269" s="476"/>
      <c r="AU269" s="476"/>
      <c r="AV269" s="476"/>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5">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0</v>
      </c>
      <c r="AS278" s="476">
        <v>0</v>
      </c>
      <c r="AT278" s="476">
        <v>0</v>
      </c>
      <c r="AU278" s="476">
        <v>0</v>
      </c>
      <c r="AV278" s="476">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c r="AS279" s="476"/>
      <c r="AT279" s="476"/>
      <c r="AU279" s="476"/>
      <c r="AV279" s="476"/>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c r="AS281" s="476"/>
      <c r="AT281" s="476"/>
      <c r="AU281" s="476"/>
      <c r="AV281" s="476"/>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c r="AS283" s="476"/>
      <c r="AT283" s="476"/>
      <c r="AU283" s="476"/>
      <c r="AV283" s="476"/>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c r="AS284" s="476"/>
      <c r="AT284" s="476"/>
      <c r="AU284" s="476"/>
      <c r="AV284" s="476"/>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0.25</v>
      </c>
      <c r="AS286" s="420">
        <v>0.25</v>
      </c>
      <c r="AT286" s="420">
        <v>0.25</v>
      </c>
      <c r="AU286" s="420">
        <v>0.25</v>
      </c>
      <c r="AV286" s="420">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0.18</v>
      </c>
      <c r="AS287" s="420">
        <v>0.18</v>
      </c>
      <c r="AT287" s="420">
        <v>0.18</v>
      </c>
      <c r="AU287" s="420">
        <v>0.18</v>
      </c>
      <c r="AV287" s="420">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0.06</v>
      </c>
      <c r="AS288" s="420">
        <v>0.06</v>
      </c>
      <c r="AT288" s="420">
        <v>0.06</v>
      </c>
      <c r="AU288" s="420">
        <v>0.06</v>
      </c>
      <c r="AV288" s="420">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0.03</v>
      </c>
      <c r="AS289" s="420">
        <v>0.03</v>
      </c>
      <c r="AT289" s="420">
        <v>0.03</v>
      </c>
      <c r="AU289" s="420">
        <v>0.03</v>
      </c>
      <c r="AV289" s="420">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v>2.2200000000000001E-2</v>
      </c>
      <c r="AS290" s="420">
        <v>2.2200000000000001E-2</v>
      </c>
      <c r="AT290" s="420">
        <v>2.2200000000000001E-2</v>
      </c>
      <c r="AU290" s="420">
        <v>2.2200000000000001E-2</v>
      </c>
      <c r="AV290" s="420">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v>1.4366690915062783</v>
      </c>
      <c r="AS292" s="528">
        <v>1.3797759532786635</v>
      </c>
      <c r="AT292" s="528">
        <v>1.2994160329983981</v>
      </c>
      <c r="AU292" s="528">
        <v>1.2615281568238033</v>
      </c>
      <c r="AV292" s="528">
        <v>1.2611798067947679</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v>0.65</v>
      </c>
      <c r="AS293" s="410">
        <v>0.64</v>
      </c>
      <c r="AT293" s="410">
        <v>0.63</v>
      </c>
      <c r="AU293" s="410">
        <v>0.61</v>
      </c>
      <c r="AV293" s="410">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0.15407325635268362</v>
      </c>
      <c r="AS296" s="508">
        <v>0.15407325635268362</v>
      </c>
      <c r="AT296" s="508">
        <v>0.1540732563526836</v>
      </c>
      <c r="AU296" s="508">
        <v>0.1540732563526836</v>
      </c>
      <c r="AV296" s="508">
        <v>0.1540732563526836</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0.1540732563526836</v>
      </c>
      <c r="AS297" s="508">
        <v>0.1540732563526836</v>
      </c>
      <c r="AT297" s="508">
        <v>0.15407325635268362</v>
      </c>
      <c r="AU297" s="508">
        <v>0.1540732563526836</v>
      </c>
      <c r="AV297" s="508">
        <v>0.1540732563526836</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0.15353388163275092</v>
      </c>
      <c r="AS298" s="508">
        <v>0.15407325635268362</v>
      </c>
      <c r="AT298" s="508">
        <v>0.1540732563526836</v>
      </c>
      <c r="AU298" s="508">
        <v>0.1540732563526836</v>
      </c>
      <c r="AV298" s="508">
        <v>0.1540732563526836</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8.9362488684556485E-2</v>
      </c>
      <c r="AS299" s="508">
        <v>8.9362488684556485E-2</v>
      </c>
      <c r="AT299" s="508">
        <v>8.9362488684556485E-2</v>
      </c>
      <c r="AU299" s="508">
        <v>8.9362488684556471E-2</v>
      </c>
      <c r="AV299" s="508">
        <v>8.9362488684556471E-2</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2.7595696760607719E-3</v>
      </c>
      <c r="AS301" s="508">
        <v>0</v>
      </c>
      <c r="AT301" s="508">
        <v>0</v>
      </c>
      <c r="AU301" s="508">
        <v>0</v>
      </c>
      <c r="AV301" s="508">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4.3144988519699522E-2</v>
      </c>
      <c r="AS302" s="508">
        <v>4.3147279196409254E-2</v>
      </c>
      <c r="AT302" s="508">
        <v>4.3150758425528131E-2</v>
      </c>
      <c r="AU302" s="508">
        <v>4.3153694945511904E-2</v>
      </c>
      <c r="AV302" s="508">
        <v>4.3157738460240777E-2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0.39439758482229198</v>
      </c>
      <c r="AS303" s="508">
        <v>0.39439758482229198</v>
      </c>
      <c r="AT303" s="508">
        <v>0.39439758482229187</v>
      </c>
      <c r="AU303" s="508">
        <v>0.39439758482229198</v>
      </c>
      <c r="AV303" s="508">
        <v>0.39439758482229192</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0.39439758482229192</v>
      </c>
      <c r="AS304" s="508">
        <v>0.39439758482229198</v>
      </c>
      <c r="AT304" s="508">
        <v>0.39439758482229192</v>
      </c>
      <c r="AU304" s="508">
        <v>0.39439758482229192</v>
      </c>
      <c r="AV304" s="508">
        <v>0.39439758482229192</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0.39301689039230797</v>
      </c>
      <c r="AS305" s="508">
        <v>0.39439758482229192</v>
      </c>
      <c r="AT305" s="508">
        <v>0.39439758482229198</v>
      </c>
      <c r="AU305" s="508">
        <v>0.39439758482229192</v>
      </c>
      <c r="AV305" s="508">
        <v>0.39439758482229192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0.22875059919692933</v>
      </c>
      <c r="AS306" s="508">
        <v>0.22875059919692928</v>
      </c>
      <c r="AT306" s="508">
        <v>0.22875059919692928</v>
      </c>
      <c r="AU306" s="508">
        <v>0.22875059919692928</v>
      </c>
      <c r="AV306" s="508">
        <v>0.22875059919692931</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7.0639619175430395E-3</v>
      </c>
      <c r="AS308" s="508">
        <v>0</v>
      </c>
      <c r="AT308" s="508">
        <v>0</v>
      </c>
      <c r="AU308" s="508">
        <v>0</v>
      </c>
      <c r="AV308" s="508">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0.11044278333680212</v>
      </c>
      <c r="AS309" s="508">
        <v>0.11044864702387741</v>
      </c>
      <c r="AT309" s="508">
        <v>0.11045755317406869</v>
      </c>
      <c r="AU309" s="508">
        <v>0.11046507009437528</v>
      </c>
      <c r="AV309" s="508">
        <v>0.11047542070603242</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0.39973889445946187</v>
      </c>
      <c r="AS310" s="508">
        <v>0.39973889445946198</v>
      </c>
      <c r="AT310" s="508">
        <v>0.39973889445946187</v>
      </c>
      <c r="AU310" s="508">
        <v>0.39973889445946187</v>
      </c>
      <c r="AV310" s="508">
        <v>0.39973889445946192</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0.39973889445946181</v>
      </c>
      <c r="AS311" s="508">
        <v>0.39973889445946187</v>
      </c>
      <c r="AT311" s="508">
        <v>0.39973889445946192</v>
      </c>
      <c r="AU311" s="508">
        <v>0.39973889445946187</v>
      </c>
      <c r="AV311" s="508">
        <v>0.39973889445946181</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0.39833950134381485</v>
      </c>
      <c r="AS312" s="508">
        <v>0.39973889445946192</v>
      </c>
      <c r="AT312" s="508">
        <v>0.39973889445946192</v>
      </c>
      <c r="AU312" s="508">
        <v>0.39973889445946181</v>
      </c>
      <c r="AV312" s="508">
        <v>0.39973889445946187</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0.23184855878648788</v>
      </c>
      <c r="AS313" s="508">
        <v>0.23184855878648783</v>
      </c>
      <c r="AT313" s="508">
        <v>0.23184855878648783</v>
      </c>
      <c r="AU313" s="508">
        <v>0.23184855878648783</v>
      </c>
      <c r="AV313" s="508">
        <v>0.23184855878648783</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7.1596288519229102E-3</v>
      </c>
      <c r="AS315" s="508">
        <v>0</v>
      </c>
      <c r="AT315" s="508">
        <v>0</v>
      </c>
      <c r="AU315" s="508">
        <v>0</v>
      </c>
      <c r="AV315" s="508">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0.11193850523190076</v>
      </c>
      <c r="AS316" s="508">
        <v>0.11194444833063956</v>
      </c>
      <c r="AT316" s="508">
        <v>0.11195347509644227</v>
      </c>
      <c r="AU316" s="508">
        <v>0.11196109381807934</v>
      </c>
      <c r="AV316" s="508">
        <v>0.11197158460762781</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3.1705596201959105E-2</v>
      </c>
      <c r="AS317" s="508">
        <v>3.1705596201959105E-2</v>
      </c>
      <c r="AT317" s="508">
        <v>3.1705596201959091E-2</v>
      </c>
      <c r="AU317" s="508">
        <v>3.1705596201959098E-2</v>
      </c>
      <c r="AV317" s="508">
        <v>3.1705596201959105E-2</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3.1705596201959098E-2</v>
      </c>
      <c r="AS318" s="508">
        <v>3.1705596201959098E-2</v>
      </c>
      <c r="AT318" s="508">
        <v>3.1705596201959098E-2</v>
      </c>
      <c r="AU318" s="508">
        <v>3.1705596201959098E-2</v>
      </c>
      <c r="AV318" s="508">
        <v>3.1705596201959098E-2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3.1594602266499044E-2</v>
      </c>
      <c r="AS319" s="508">
        <v>3.1705596201959098E-2</v>
      </c>
      <c r="AT319" s="508">
        <v>3.1705596201959105E-2</v>
      </c>
      <c r="AU319" s="508">
        <v>3.1705596201959098E-2</v>
      </c>
      <c r="AV319" s="508">
        <v>3.1705596201959098E-2</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1.8389245797136276E-2</v>
      </c>
      <c r="AS320" s="508">
        <v>1.8389245797136276E-2</v>
      </c>
      <c r="AT320" s="508">
        <v>1.8389245797136276E-2</v>
      </c>
      <c r="AU320" s="508">
        <v>1.8389245797136272E-2</v>
      </c>
      <c r="AV320" s="508">
        <v>1.8389245797136276E-2</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5.6787143928518631E-4</v>
      </c>
      <c r="AS322" s="508">
        <v>0</v>
      </c>
      <c r="AT322" s="508">
        <v>0</v>
      </c>
      <c r="AU322" s="508">
        <v>0</v>
      </c>
      <c r="AV322" s="508">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8.8784881719670868E-3</v>
      </c>
      <c r="AS323" s="508">
        <v>8.8789595533898414E-3</v>
      </c>
      <c r="AT323" s="508">
        <v>8.8796755182246785E-3</v>
      </c>
      <c r="AU323" s="508">
        <v>8.8802798029594086E-3</v>
      </c>
      <c r="AV323" s="508">
        <v>8.8811118879575796E-3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3.5007679638963209E-3</v>
      </c>
      <c r="AS326" s="508">
        <v>0</v>
      </c>
      <c r="AT326" s="508">
        <v>0</v>
      </c>
      <c r="AU326" s="508">
        <v>0</v>
      </c>
      <c r="AV326" s="508">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0.42000000000000004</v>
      </c>
      <c r="AS327" s="508">
        <v>0.42000000000000004</v>
      </c>
      <c r="AT327" s="508">
        <v>0.42</v>
      </c>
      <c r="AU327" s="508">
        <v>0.42000000000000004</v>
      </c>
      <c r="AV327" s="508">
        <v>0.42000000000000004</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0.98208923637114576</v>
      </c>
      <c r="AS329" s="508">
        <v>1</v>
      </c>
      <c r="AT329" s="508">
        <v>1</v>
      </c>
      <c r="AU329" s="508">
        <v>1</v>
      </c>
      <c r="AV329" s="508">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0.719970944075214</v>
      </c>
      <c r="AS330" s="508">
        <v>0.71995607662343197</v>
      </c>
      <c r="AT330" s="508">
        <v>0.71993349496843717</v>
      </c>
      <c r="AU330" s="508">
        <v>0.71991443572315805</v>
      </c>
      <c r="AV330" s="508">
        <v>0.71988819161808371</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2.0084668163603485E-2</v>
      </c>
      <c r="AS331" s="508">
        <v>2.0084668163603488E-2</v>
      </c>
      <c r="AT331" s="508">
        <v>2.0084668163603478E-2</v>
      </c>
      <c r="AU331" s="508">
        <v>2.0084668163603481E-2</v>
      </c>
      <c r="AV331" s="508">
        <v>2.0084668163603485E-2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2.0084668163603481E-2</v>
      </c>
      <c r="AS332" s="508">
        <v>2.0084668163603481E-2</v>
      </c>
      <c r="AT332" s="508">
        <v>2.0084668163603481E-2</v>
      </c>
      <c r="AU332" s="508">
        <v>2.0084668163603481E-2</v>
      </c>
      <c r="AV332" s="508">
        <v>2.0084668163603478E-2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2.0014356400730848E-2</v>
      </c>
      <c r="AS333" s="508">
        <v>2.0084668163603485E-2</v>
      </c>
      <c r="AT333" s="508">
        <v>2.0084668163603485E-2</v>
      </c>
      <c r="AU333" s="508">
        <v>2.0084668163603481E-2</v>
      </c>
      <c r="AV333" s="508">
        <v>2.0084668163603481E-2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1.1649107534890018E-2</v>
      </c>
      <c r="AS334" s="508">
        <v>1.1649107534890017E-2</v>
      </c>
      <c r="AT334" s="508">
        <v>1.1649107534890018E-2</v>
      </c>
      <c r="AU334" s="508">
        <v>1.1649107534890017E-2</v>
      </c>
      <c r="AV334" s="508">
        <v>1.1649107534890018E-2</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3.597317440422748E-4</v>
      </c>
      <c r="AS336" s="508">
        <v>0</v>
      </c>
      <c r="AT336" s="508">
        <v>0</v>
      </c>
      <c r="AU336" s="508">
        <v>0</v>
      </c>
      <c r="AV336" s="508">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v>5.6242906644164876E-3</v>
      </c>
      <c r="AS337" s="508">
        <v>5.6245892722519694E-3</v>
      </c>
      <c r="AT337" s="508">
        <v>5.6250428172991253E-3</v>
      </c>
      <c r="AU337" s="508">
        <v>5.6254256159160038E-3</v>
      </c>
      <c r="AV337" s="508">
        <v>5.6259527200576724E-3</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v>-3.0346275290212947</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159.46104281673271</v>
      </c>
      <c r="AK343" s="476">
        <v>145.30428028833489</v>
      </c>
      <c r="AL343" s="476">
        <v>155.00188809981407</v>
      </c>
      <c r="AM343" s="476">
        <v>157.65089000047814</v>
      </c>
      <c r="AN343" s="476">
        <v>152.04141332579476</v>
      </c>
      <c r="AO343" s="476">
        <v>150.93723656742813</v>
      </c>
      <c r="AP343" s="476">
        <v>156.84191024562898</v>
      </c>
      <c r="AQ343" s="477">
        <v>154.0526392563298</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71.307668294850316</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628.2455801054839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v>1145.01039268363</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1428.7456461475876</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344.67962761908268</v>
      </c>
      <c r="AQ352" s="477">
        <v>330.52534860015589</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5">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415.26918895190363</v>
      </c>
      <c r="AK355" s="476">
        <v>452.07398720983605</v>
      </c>
      <c r="AL355" s="476">
        <v>394.40800000000002</v>
      </c>
      <c r="AM355" s="476">
        <v>413.89699999999999</v>
      </c>
      <c r="AN355" s="476">
        <v>438.33800000000002</v>
      </c>
      <c r="AO355" s="476">
        <v>410.62294568115544</v>
      </c>
      <c r="AP355" s="476">
        <v>428.28951999999998</v>
      </c>
      <c r="AQ355" s="477">
        <v>535.9583433900001</v>
      </c>
      <c r="AR355" s="184"/>
      <c r="AS355" s="184"/>
      <c r="AT355" s="184"/>
      <c r="AU355" s="184"/>
      <c r="AV355" s="184"/>
      <c r="AW355" s="184"/>
    </row>
    <row r="356" spans="1:49" ht="15">
      <c r="A356" s="82"/>
      <c r="B356" s="82"/>
      <c r="C356" s="82"/>
      <c r="D356" s="82"/>
      <c r="E356" s="363" t="s">
        <v>425</v>
      </c>
      <c r="F356" s="82"/>
      <c r="G356" s="82" t="s">
        <v>304</v>
      </c>
      <c r="H356" s="82" t="s">
        <v>1398</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404.59389821967591</v>
      </c>
      <c r="AK356" s="476">
        <v>448.0633651518184</v>
      </c>
      <c r="AL356" s="476">
        <v>398.70531750288188</v>
      </c>
      <c r="AM356" s="476">
        <v>414.63304060511632</v>
      </c>
      <c r="AN356" s="476">
        <v>428.93724226093093</v>
      </c>
      <c r="AO356" s="476">
        <v>432.055209499189</v>
      </c>
      <c r="AP356" s="476">
        <v>425.02235929678614</v>
      </c>
      <c r="AQ356" s="477">
        <v>546.11042786457949</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0.71767123287671231</v>
      </c>
      <c r="AO357" s="476">
        <v>0.1</v>
      </c>
      <c r="AP357" s="476">
        <v>0.19289999999999999</v>
      </c>
      <c r="AQ357" s="477">
        <v>2.3034246575342463</v>
      </c>
      <c r="AR357" s="419"/>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v>2.3961429999999999E-2</v>
      </c>
      <c r="AS360" s="419"/>
      <c r="AT360" s="419"/>
      <c r="AU360" s="419"/>
      <c r="AV360" s="419"/>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c r="AS361" s="419"/>
      <c r="AT361" s="419"/>
      <c r="AU361" s="419"/>
      <c r="AV361" s="419"/>
      <c r="AW361" s="184"/>
    </row>
    <row r="362" spans="1:49" ht="15">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0</v>
      </c>
      <c r="AK363" s="476">
        <v>0</v>
      </c>
      <c r="AL363" s="476">
        <v>0</v>
      </c>
      <c r="AM363" s="476">
        <v>0</v>
      </c>
      <c r="AN363" s="476">
        <v>0</v>
      </c>
      <c r="AO363" s="476">
        <v>0</v>
      </c>
      <c r="AP363" s="476">
        <v>0</v>
      </c>
      <c r="AQ363" s="477">
        <v>0</v>
      </c>
      <c r="AR363" s="184"/>
      <c r="AS363" s="184"/>
      <c r="AT363" s="184"/>
      <c r="AU363" s="184"/>
      <c r="AV363" s="184"/>
      <c r="AW363" s="184"/>
    </row>
    <row r="364" spans="1:49" ht="15">
      <c r="A364" s="82"/>
      <c r="B364" s="82"/>
      <c r="C364" s="82"/>
      <c r="D364" s="82"/>
      <c r="E364" s="363" t="s">
        <v>438</v>
      </c>
      <c r="F364" s="82"/>
      <c r="G364" s="82" t="s">
        <v>399</v>
      </c>
      <c r="H364" s="82" t="s">
        <v>439</v>
      </c>
      <c r="I364" s="476">
        <v>43.4</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2.4022697420249686</v>
      </c>
      <c r="AQ368" s="477">
        <v>2.7761772633747479</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0.1</v>
      </c>
      <c r="AQ370" s="477">
        <v>0.96</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13.223811536789343</v>
      </c>
      <c r="AQ372" s="477">
        <v>12.30038036064135</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-0.13030199999999997</v>
      </c>
      <c r="AQ374" s="477">
        <v>-0.12736799999999998</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c r="AP376" s="419">
        <v>0</v>
      </c>
      <c r="AQ376" s="418">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0.3</v>
      </c>
      <c r="AQ378" s="477">
        <v>0.3</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0.3</v>
      </c>
      <c r="AQ379" s="477">
        <v>0.3</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0.29216897108190099</v>
      </c>
      <c r="AQ380" s="477">
        <v>0.3</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0.3</v>
      </c>
      <c r="AQ381" s="477">
        <v>0.3</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2.3656330080000001</v>
      </c>
      <c r="AQ385" s="477">
        <v>2.4858109989999999</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1.1000000000000001</v>
      </c>
      <c r="AQ386" s="477">
        <v>1.1000000000000001</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25.594880011000001</v>
      </c>
      <c r="AQ388" s="477">
        <v>25.594879986999999</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26.4</v>
      </c>
      <c r="AQ389" s="477">
        <v>26.7</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13.948872492000001</v>
      </c>
      <c r="AQ391" s="477">
        <v>14.123787138000001</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19.5</v>
      </c>
      <c r="AQ392" s="477">
        <v>22.9</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2.5358084989999998</v>
      </c>
      <c r="AQ394" s="477">
        <v>2.7987939959999997</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0.86189553348708203</v>
      </c>
      <c r="AQ397" s="477">
        <v>1.6924342891363591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0.85363316</v>
      </c>
      <c r="AQ412" s="477">
        <v>1.5563771399999808</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0.81328210400000012</v>
      </c>
      <c r="AP414" s="476">
        <v>2.8365642404999996</v>
      </c>
      <c r="AQ414" s="477">
        <v>-3.0351906999999838E-2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0</v>
      </c>
      <c r="AP415" s="476">
        <v>-0.15431398999999998</v>
      </c>
      <c r="AQ415" s="477">
        <v>-0.14489196000000001</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conditionalFormatting sqref="I234:I237">
    <cfRule type="cellIs" dxfId="349" priority="38" operator="equal">
      <formula>FALSE()</formula>
    </cfRule>
  </conditionalFormatting>
  <conditionalFormatting sqref="I364">
    <cfRule type="cellIs" dxfId="348" priority="17" operator="equal">
      <formula>FALSE()</formula>
    </cfRule>
  </conditionalFormatting>
  <conditionalFormatting sqref="K211:AQ217 AW211:AW217">
    <cfRule type="cellIs" dxfId="347" priority="37" operator="equal">
      <formula>FALSE()</formula>
    </cfRule>
  </conditionalFormatting>
  <conditionalFormatting sqref="K8:AW210">
    <cfRule type="cellIs" dxfId="346" priority="31" operator="equal">
      <formula>FALSE()</formula>
    </cfRule>
  </conditionalFormatting>
  <conditionalFormatting sqref="K218:AW420">
    <cfRule type="cellIs" dxfId="345" priority="21" operator="equal">
      <formula>FALSE()</formula>
    </cfRule>
  </conditionalFormatting>
  <conditionalFormatting sqref="AQ352:AQ353">
    <cfRule type="cellIs" dxfId="344" priority="20" operator="equal">
      <formula>FALSE()</formula>
    </cfRule>
  </conditionalFormatting>
  <conditionalFormatting sqref="AQ355:AQ358">
    <cfRule type="cellIs" dxfId="343" priority="19" operator="equal">
      <formula>FALSE()</formula>
    </cfRule>
  </conditionalFormatting>
  <conditionalFormatting sqref="AQ363">
    <cfRule type="cellIs" dxfId="342" priority="18" operator="equal">
      <formula>FALSE()</formula>
    </cfRule>
  </conditionalFormatting>
  <conditionalFormatting sqref="AQ368:AQ370">
    <cfRule type="cellIs" dxfId="341" priority="16" operator="equal">
      <formula>FALSE()</formula>
    </cfRule>
  </conditionalFormatting>
  <conditionalFormatting sqref="AQ372:AQ374">
    <cfRule type="cellIs" dxfId="340" priority="15" operator="equal">
      <formula>FALSE()</formula>
    </cfRule>
  </conditionalFormatting>
  <conditionalFormatting sqref="AQ378:AQ381">
    <cfRule type="cellIs" dxfId="339" priority="13" operator="equal">
      <formula>FALSE()</formula>
    </cfRule>
  </conditionalFormatting>
  <conditionalFormatting sqref="AQ385:AQ386">
    <cfRule type="cellIs" dxfId="338" priority="12" operator="equal">
      <formula>FALSE()</formula>
    </cfRule>
  </conditionalFormatting>
  <conditionalFormatting sqref="AQ388:AQ389">
    <cfRule type="cellIs" dxfId="337" priority="11" operator="equal">
      <formula>FALSE()</formula>
    </cfRule>
  </conditionalFormatting>
  <conditionalFormatting sqref="AQ391:AQ392">
    <cfRule type="cellIs" dxfId="336" priority="10" operator="equal">
      <formula>FALSE()</formula>
    </cfRule>
  </conditionalFormatting>
  <conditionalFormatting sqref="AQ394:AQ395">
    <cfRule type="cellIs" dxfId="335" priority="9" operator="equal">
      <formula>FALSE()</formula>
    </cfRule>
  </conditionalFormatting>
  <conditionalFormatting sqref="AQ397:AQ398">
    <cfRule type="cellIs" dxfId="334" priority="8" operator="equal">
      <formula>FALSE()</formula>
    </cfRule>
  </conditionalFormatting>
  <conditionalFormatting sqref="AQ400:AQ401">
    <cfRule type="cellIs" dxfId="333" priority="7" operator="equal">
      <formula>FALSE()</formula>
    </cfRule>
  </conditionalFormatting>
  <conditionalFormatting sqref="AQ403:AQ404">
    <cfRule type="cellIs" dxfId="332" priority="6" operator="equal">
      <formula>FALSE()</formula>
    </cfRule>
  </conditionalFormatting>
  <conditionalFormatting sqref="AQ406:AQ407">
    <cfRule type="cellIs" dxfId="331" priority="5" operator="equal">
      <formula>FALSE()</formula>
    </cfRule>
  </conditionalFormatting>
  <conditionalFormatting sqref="AQ409:AQ410">
    <cfRule type="cellIs" dxfId="330" priority="4" operator="equal">
      <formula>FALSE()</formula>
    </cfRule>
  </conditionalFormatting>
  <conditionalFormatting sqref="AQ412">
    <cfRule type="cellIs" dxfId="329" priority="3" operator="equal">
      <formula>FALSE()</formula>
    </cfRule>
  </conditionalFormatting>
  <conditionalFormatting sqref="AQ414:AQ415">
    <cfRule type="cellIs" dxfId="328" priority="2" operator="equal">
      <formula>FALSE()</formula>
    </cfRule>
  </conditionalFormatting>
  <conditionalFormatting sqref="AQ417:AQ419">
    <cfRule type="cellIs" dxfId="327" priority="1" operator="equal">
      <formula>FALSE()</formula>
    </cfRule>
  </conditionalFormatting>
  <conditionalFormatting sqref="AR211:AV211">
    <cfRule type="cellIs" dxfId="326" priority="36" operator="equal">
      <formula>FALSE()</formula>
    </cfRule>
  </conditionalFormatting>
  <conditionalFormatting sqref="AR213:AV217">
    <cfRule type="cellIs" dxfId="325" priority="34"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H15" s="82"/>
      <c r="I15" s="82"/>
      <c r="J15" s="82"/>
      <c r="K15" s="82"/>
      <c r="L15" s="82"/>
      <c r="M15" s="82"/>
      <c r="N15" s="82"/>
      <c r="O15" s="82"/>
      <c r="P15" s="82"/>
      <c r="Q15" s="82"/>
      <c r="R15" s="82"/>
      <c r="S15" s="82"/>
      <c r="T15" s="82"/>
      <c r="U15" s="82"/>
      <c r="V15" s="82"/>
      <c r="W15" s="82"/>
    </row>
    <row r="16" spans="1:23" ht="15">
      <c r="A16" s="82"/>
      <c r="B16" s="82"/>
      <c r="C16" s="82"/>
      <c r="D16" s="82"/>
      <c r="E16" s="199" t="s">
        <v>31</v>
      </c>
      <c r="H16" s="82"/>
      <c r="I16" s="82"/>
      <c r="J16" s="82"/>
      <c r="K16" s="82"/>
      <c r="L16" s="82"/>
      <c r="M16" s="82"/>
      <c r="N16" s="82"/>
      <c r="O16" s="82"/>
      <c r="P16" s="82"/>
      <c r="Q16" s="82"/>
      <c r="R16" s="82"/>
      <c r="S16" s="82"/>
      <c r="T16" s="82"/>
      <c r="U16" s="82"/>
      <c r="V16" s="82"/>
      <c r="W16" s="82"/>
    </row>
    <row r="17" spans="1:23" ht="15">
      <c r="A17" s="82"/>
      <c r="B17" s="82"/>
      <c r="C17" s="82"/>
      <c r="D17" s="82"/>
      <c r="E17" s="199" t="s">
        <v>34</v>
      </c>
      <c r="H17" s="82"/>
      <c r="I17" s="82"/>
      <c r="J17" s="82"/>
      <c r="K17" s="82"/>
      <c r="L17" s="82"/>
      <c r="M17" s="82"/>
      <c r="N17" s="82"/>
      <c r="O17" s="82"/>
      <c r="P17" s="82"/>
      <c r="Q17" s="82"/>
      <c r="R17" s="82"/>
      <c r="S17" s="82"/>
      <c r="T17" s="82"/>
      <c r="U17" s="82"/>
      <c r="V17" s="82"/>
      <c r="W17" s="82"/>
    </row>
    <row r="18" spans="1:23" ht="15">
      <c r="A18" s="82"/>
      <c r="B18" s="82"/>
      <c r="C18" s="82"/>
      <c r="D18" s="82"/>
      <c r="E18" s="199" t="s">
        <v>35</v>
      </c>
      <c r="H18" s="82"/>
      <c r="I18" s="82"/>
      <c r="J18" s="82"/>
      <c r="K18" s="82"/>
      <c r="L18" s="82"/>
      <c r="M18" s="82"/>
      <c r="N18" s="82"/>
      <c r="O18" s="82"/>
      <c r="P18" s="82"/>
      <c r="Q18" s="82"/>
      <c r="R18" s="82"/>
      <c r="S18" s="82"/>
      <c r="T18" s="82"/>
      <c r="U18" s="82"/>
      <c r="V18" s="82"/>
      <c r="W18" s="82"/>
    </row>
    <row r="19" spans="1:23" ht="15">
      <c r="A19" s="82"/>
      <c r="B19" s="82"/>
      <c r="C19" s="82"/>
      <c r="D19" s="82"/>
      <c r="E19" s="199" t="s">
        <v>37</v>
      </c>
      <c r="H19" s="82"/>
      <c r="I19" s="82"/>
      <c r="J19" s="82"/>
      <c r="K19" s="82"/>
      <c r="L19" s="82"/>
      <c r="M19" s="82"/>
      <c r="N19" s="82"/>
      <c r="O19" s="82"/>
      <c r="P19" s="82"/>
      <c r="Q19" s="82"/>
      <c r="R19" s="82"/>
      <c r="S19" s="82"/>
      <c r="T19" s="82"/>
      <c r="U19" s="82"/>
      <c r="V19" s="82"/>
      <c r="W19" s="82"/>
    </row>
    <row r="20" spans="1:23" ht="15">
      <c r="A20" s="82"/>
      <c r="B20" s="82"/>
      <c r="C20" s="82"/>
      <c r="D20" s="82"/>
      <c r="E20" s="199" t="s">
        <v>39</v>
      </c>
      <c r="H20" s="82"/>
      <c r="I20" s="82"/>
      <c r="J20" s="82"/>
      <c r="K20" s="82"/>
      <c r="L20" s="82"/>
      <c r="M20" s="82"/>
      <c r="N20" s="82"/>
      <c r="O20" s="82"/>
      <c r="P20" s="82"/>
      <c r="Q20" s="82"/>
      <c r="R20" s="82"/>
      <c r="S20" s="82"/>
      <c r="T20" s="82"/>
      <c r="U20" s="82"/>
      <c r="V20" s="82"/>
      <c r="W20" s="82"/>
    </row>
    <row r="21" spans="1:23" ht="15">
      <c r="A21" s="82"/>
      <c r="B21" s="82"/>
      <c r="C21" s="82"/>
      <c r="D21" s="82"/>
      <c r="E21" s="199" t="s">
        <v>42</v>
      </c>
      <c r="H21" s="82"/>
      <c r="I21" s="82"/>
      <c r="J21" s="82"/>
      <c r="K21" s="82"/>
      <c r="L21" s="82"/>
      <c r="M21" s="82"/>
      <c r="N21" s="82"/>
      <c r="O21" s="82"/>
      <c r="P21" s="82"/>
      <c r="Q21" s="82"/>
      <c r="R21" s="82"/>
      <c r="S21" s="82"/>
      <c r="T21" s="82"/>
      <c r="U21" s="82"/>
      <c r="V21" s="82"/>
      <c r="W21" s="82"/>
    </row>
    <row r="22" spans="1:23" ht="15">
      <c r="A22" s="82"/>
      <c r="B22" s="82"/>
      <c r="C22" s="82"/>
      <c r="D22" s="82"/>
      <c r="E22" s="199" t="s">
        <v>45</v>
      </c>
      <c r="H22" s="82"/>
      <c r="I22" s="82"/>
      <c r="J22" s="82"/>
      <c r="K22" s="82"/>
      <c r="L22" s="82"/>
      <c r="M22" s="82"/>
      <c r="N22" s="82"/>
      <c r="O22" s="82"/>
      <c r="P22" s="82"/>
      <c r="Q22" s="82"/>
      <c r="R22" s="82"/>
      <c r="S22" s="82"/>
      <c r="T22" s="82"/>
      <c r="U22" s="82"/>
      <c r="V22" s="82"/>
      <c r="W22" s="82"/>
    </row>
    <row r="23" spans="1:23" ht="15">
      <c r="A23" s="82"/>
      <c r="B23" s="82"/>
      <c r="C23" s="82"/>
      <c r="D23" s="82"/>
      <c r="E23" s="199" t="s">
        <v>46</v>
      </c>
      <c r="H23" s="82"/>
      <c r="I23" s="82"/>
      <c r="J23" s="82"/>
      <c r="K23" s="82"/>
      <c r="L23" s="82"/>
      <c r="M23" s="82"/>
      <c r="N23" s="82"/>
      <c r="O23" s="82"/>
      <c r="P23" s="82"/>
      <c r="Q23" s="82"/>
      <c r="R23" s="82"/>
      <c r="S23" s="82"/>
      <c r="T23" s="82"/>
      <c r="U23" s="82"/>
      <c r="V23" s="82"/>
      <c r="W23" s="82"/>
    </row>
    <row r="24" spans="1:23" ht="15">
      <c r="A24" s="82"/>
      <c r="B24" s="82"/>
      <c r="C24" s="82"/>
      <c r="D24" s="82"/>
      <c r="E24" s="199" t="s">
        <v>48</v>
      </c>
      <c r="H24" s="82"/>
      <c r="I24" s="82"/>
      <c r="J24" s="82"/>
      <c r="K24" s="82"/>
      <c r="L24" s="82"/>
      <c r="M24" s="82"/>
      <c r="N24" s="82"/>
      <c r="O24" s="82"/>
      <c r="P24" s="82"/>
      <c r="Q24" s="82"/>
      <c r="R24" s="82"/>
      <c r="S24" s="82"/>
      <c r="T24" s="82"/>
      <c r="U24" s="82"/>
      <c r="V24" s="82"/>
      <c r="W24" s="82"/>
    </row>
    <row r="25" spans="1:23" ht="15">
      <c r="A25" s="82"/>
      <c r="B25" s="82"/>
      <c r="C25" s="82"/>
      <c r="D25" s="82"/>
      <c r="E25" s="199" t="s">
        <v>51</v>
      </c>
      <c r="H25" s="82"/>
      <c r="I25" s="82"/>
      <c r="J25" s="82"/>
      <c r="K25" s="82"/>
      <c r="L25" s="82"/>
      <c r="M25" s="82"/>
      <c r="N25" s="82"/>
      <c r="O25" s="82"/>
      <c r="P25" s="82"/>
      <c r="Q25" s="82"/>
      <c r="R25" s="82"/>
      <c r="S25" s="82"/>
      <c r="T25" s="82"/>
      <c r="U25" s="82"/>
      <c r="V25" s="82"/>
      <c r="W25" s="82"/>
    </row>
    <row r="26" spans="1:23" ht="15">
      <c r="A26" s="82"/>
      <c r="B26" s="82"/>
      <c r="C26" s="82"/>
      <c r="D26" s="82"/>
      <c r="E26" s="199" t="s">
        <v>54</v>
      </c>
      <c r="H26" s="82"/>
      <c r="I26" s="82"/>
      <c r="J26" s="82"/>
      <c r="K26" s="82"/>
      <c r="L26" s="82"/>
      <c r="M26" s="82"/>
      <c r="N26" s="82"/>
      <c r="O26" s="82"/>
      <c r="P26" s="82"/>
      <c r="Q26" s="82"/>
      <c r="R26" s="82"/>
      <c r="S26" s="82"/>
      <c r="T26" s="82"/>
      <c r="U26" s="82"/>
      <c r="V26" s="82"/>
      <c r="W26" s="82"/>
    </row>
    <row r="27" spans="1:23" ht="15">
      <c r="A27" s="82"/>
      <c r="B27" s="82"/>
      <c r="C27" s="82"/>
      <c r="D27" s="82"/>
      <c r="E27" s="199" t="s">
        <v>57</v>
      </c>
      <c r="H27" s="82"/>
      <c r="I27" s="82"/>
      <c r="J27" s="82"/>
      <c r="K27" s="82"/>
      <c r="L27" s="82"/>
      <c r="M27" s="82"/>
      <c r="N27" s="82"/>
      <c r="O27" s="82"/>
      <c r="P27" s="82"/>
      <c r="Q27" s="82"/>
      <c r="R27" s="82"/>
      <c r="S27" s="82"/>
      <c r="T27" s="82"/>
      <c r="U27" s="82"/>
      <c r="V27" s="82"/>
      <c r="W27" s="82"/>
    </row>
    <row r="28" spans="1:23" ht="15">
      <c r="A28" s="82"/>
      <c r="B28" s="82"/>
      <c r="C28" s="82"/>
      <c r="D28" s="82"/>
      <c r="E28" s="198" t="s">
        <v>60</v>
      </c>
      <c r="H28" s="82"/>
      <c r="I28" s="82"/>
      <c r="J28" s="82"/>
      <c r="K28" s="82"/>
      <c r="L28" s="82"/>
      <c r="M28" s="82"/>
      <c r="N28" s="82"/>
      <c r="O28" s="82"/>
      <c r="P28" s="82"/>
      <c r="Q28" s="82"/>
      <c r="R28" s="82"/>
      <c r="S28" s="82"/>
      <c r="T28" s="82"/>
      <c r="U28" s="82"/>
      <c r="V28" s="82"/>
      <c r="W28" s="82"/>
    </row>
    <row r="29" spans="1:23" ht="15">
      <c r="A29" s="82"/>
      <c r="B29" s="82"/>
      <c r="C29" s="82"/>
      <c r="D29" s="82"/>
      <c r="E29" s="200">
        <v>1</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ENWL</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445"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3"/>
  <sheetViews>
    <sheetView topLeftCell="A194"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3"/>
  <sheetViews>
    <sheetView topLeftCell="A201"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3"/>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80"/>
  <sheetViews>
    <sheetView topLeftCell="A186"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80"/>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80"/>
  <sheetViews>
    <sheetView topLeftCell="A396"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43" activePane="bottomRight" state="frozen"/>
      <selection pane="topRight" activeCell="K1" sqref="K1"/>
      <selection pane="bottomLeft" activeCell="A5" sqref="A5"/>
      <selection pane="bottomRight" activeCell="AT266" sqref="AT266"/>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1</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20.02</v>
      </c>
      <c r="AS15" s="528">
        <f>CHOOSE($B$3,ENWL!AS15,NPgN!AS15,NPgY!AS15,WMID!AS15,EMID!AS15,SWALES!AS15,SWEST!AS15,LPN!AS15,SPN!AS15,EPN!AS15,SPD!AS15,SPMW!AS15,SSEH!AS15,SSES!AS15)</f>
        <v>31.41</v>
      </c>
      <c r="AT15" s="528">
        <f>CHOOSE($B$3,ENWL!AT15,NPgN!AT15,NPgY!AT15,WMID!AT15,EMID!AT15,SWALES!AT15,SWEST!AT15,LPN!AT15,SPN!AT15,EPN!AT15,SPD!AT15,SPMW!AT15,SSEH!AT15,SSES!AT15)</f>
        <v>26.99</v>
      </c>
      <c r="AU15" s="528">
        <f>CHOOSE($B$3,ENWL!AU15,NPgN!AU15,NPgY!AU15,WMID!AU15,EMID!AU15,SWALES!AU15,SWEST!AU15,LPN!AU15,SPN!AU15,EPN!AU15,SPD!AU15,SPMW!AU15,SSEH!AU15,SSES!AU15)</f>
        <v>16.87</v>
      </c>
      <c r="AV15" s="528">
        <f>CHOOSE($B$3,ENWL!AV15,NPgN!AV15,NPgY!AV15,WMID!AV15,EMID!AV15,SWALES!AV15,SWEST!AV15,LPN!AV15,SPN!AV15,EPN!AV15,SPD!AV15,SPMW!AV15,SSEH!AV15,SSES!AV15)</f>
        <v>17.5</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39.53</v>
      </c>
      <c r="AS16" s="528">
        <f>CHOOSE($B$3,ENWL!AS16,NPgN!AS16,NPgY!AS16,WMID!AS16,EMID!AS16,SWALES!AS16,SWEST!AS16,LPN!AS16,SPN!AS16,EPN!AS16,SPD!AS16,SPMW!AS16,SSEH!AS16,SSES!AS16)</f>
        <v>40.75</v>
      </c>
      <c r="AT16" s="528">
        <f>CHOOSE($B$3,ENWL!AT16,NPgN!AT16,NPgY!AT16,WMID!AT16,EMID!AT16,SWALES!AT16,SWEST!AT16,LPN!AT16,SPN!AT16,EPN!AT16,SPD!AT16,SPMW!AT16,SSEH!AT16,SSES!AT16)</f>
        <v>44.32</v>
      </c>
      <c r="AU16" s="528">
        <f>CHOOSE($B$3,ENWL!AU16,NPgN!AU16,NPgY!AU16,WMID!AU16,EMID!AU16,SWALES!AU16,SWEST!AU16,LPN!AU16,SPN!AU16,EPN!AU16,SPD!AU16,SPMW!AU16,SSEH!AU16,SSES!AU16)</f>
        <v>41.74</v>
      </c>
      <c r="AV16" s="528">
        <f>CHOOSE($B$3,ENWL!AV16,NPgN!AV16,NPgY!AV16,WMID!AV16,EMID!AV16,SWALES!AV16,SWEST!AV16,LPN!AV16,SPN!AV16,EPN!AV16,SPD!AV16,SPMW!AV16,SSEH!AV16,SSES!AV16)</f>
        <v>40.33</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41.7</v>
      </c>
      <c r="AS17" s="528">
        <f>CHOOSE($B$3,ENWL!AS17,NPgN!AS17,NPgY!AS17,WMID!AS17,EMID!AS17,SWALES!AS17,SWEST!AS17,LPN!AS17,SPN!AS17,EPN!AS17,SPD!AS17,SPMW!AS17,SSEH!AS17,SSES!AS17)</f>
        <v>34.9</v>
      </c>
      <c r="AT17" s="528">
        <f>CHOOSE($B$3,ENWL!AT17,NPgN!AT17,NPgY!AT17,WMID!AT17,EMID!AT17,SWALES!AT17,SWEST!AT17,LPN!AT17,SPN!AT17,EPN!AT17,SPD!AT17,SPMW!AT17,SSEH!AT17,SSES!AT17)</f>
        <v>31.91</v>
      </c>
      <c r="AU17" s="528">
        <f>CHOOSE($B$3,ENWL!AU17,NPgN!AU17,NPgY!AU17,WMID!AU17,EMID!AU17,SWALES!AU17,SWEST!AU17,LPN!AU17,SPN!AU17,EPN!AU17,SPD!AU17,SPMW!AU17,SSEH!AU17,SSES!AU17)</f>
        <v>18.78</v>
      </c>
      <c r="AV17" s="528">
        <f>CHOOSE($B$3,ENWL!AV17,NPgN!AV17,NPgY!AV17,WMID!AV17,EMID!AV17,SWALES!AV17,SWEST!AV17,LPN!AV17,SPN!AV17,EPN!AV17,SPD!AV17,SPMW!AV17,SSEH!AV17,SSES!AV17)</f>
        <v>15.87</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28.57</v>
      </c>
      <c r="AS18" s="528">
        <f>CHOOSE($B$3,ENWL!AS18,NPgN!AS18,NPgY!AS18,WMID!AS18,EMID!AS18,SWALES!AS18,SWEST!AS18,LPN!AS18,SPN!AS18,EPN!AS18,SPD!AS18,SPMW!AS18,SSEH!AS18,SSES!AS18)</f>
        <v>28.55</v>
      </c>
      <c r="AT18" s="528">
        <f>CHOOSE($B$3,ENWL!AT18,NPgN!AT18,NPgY!AT18,WMID!AT18,EMID!AT18,SWALES!AT18,SWEST!AT18,LPN!AT18,SPN!AT18,EPN!AT18,SPD!AT18,SPMW!AT18,SSEH!AT18,SSES!AT18)</f>
        <v>29.45</v>
      </c>
      <c r="AU18" s="528">
        <f>CHOOSE($B$3,ENWL!AU18,NPgN!AU18,NPgY!AU18,WMID!AU18,EMID!AU18,SWALES!AU18,SWEST!AU18,LPN!AU18,SPN!AU18,EPN!AU18,SPD!AU18,SPMW!AU18,SSEH!AU18,SSES!AU18)</f>
        <v>30.05</v>
      </c>
      <c r="AV18" s="528">
        <f>CHOOSE($B$3,ENWL!AV18,NPgN!AV18,NPgY!AV18,WMID!AV18,EMID!AV18,SWALES!AV18,SWEST!AV18,LPN!AV18,SPN!AV18,EPN!AV18,SPD!AV18,SPMW!AV18,SSEH!AV18,SSES!AV18)</f>
        <v>29.9</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5.43</v>
      </c>
      <c r="AS19" s="528">
        <f>CHOOSE($B$3,ENWL!AS19,NPgN!AS19,NPgY!AS19,WMID!AS19,EMID!AS19,SWALES!AS19,SWEST!AS19,LPN!AS19,SPN!AS19,EPN!AS19,SPD!AS19,SPMW!AS19,SSEH!AS19,SSES!AS19)</f>
        <v>5.42</v>
      </c>
      <c r="AT19" s="528">
        <f>CHOOSE($B$3,ENWL!AT19,NPgN!AT19,NPgY!AT19,WMID!AT19,EMID!AT19,SWALES!AT19,SWEST!AT19,LPN!AT19,SPN!AT19,EPN!AT19,SPD!AT19,SPMW!AT19,SSEH!AT19,SSES!AT19)</f>
        <v>5.4</v>
      </c>
      <c r="AU19" s="528">
        <f>CHOOSE($B$3,ENWL!AU19,NPgN!AU19,NPgY!AU19,WMID!AU19,EMID!AU19,SWALES!AU19,SWEST!AU19,LPN!AU19,SPN!AU19,EPN!AU19,SPD!AU19,SPMW!AU19,SSEH!AU19,SSES!AU19)</f>
        <v>5.28</v>
      </c>
      <c r="AV19" s="528">
        <f>CHOOSE($B$3,ENWL!AV19,NPgN!AV19,NPgY!AV19,WMID!AV19,EMID!AV19,SWALES!AV19,SWEST!AV19,LPN!AV19,SPN!AV19,EPN!AV19,SPD!AV19,SPMW!AV19,SSEH!AV19,SSES!AV19)</f>
        <v>5.2</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15.4</v>
      </c>
      <c r="AS20" s="528">
        <f>CHOOSE($B$3,ENWL!AS20,NPgN!AS20,NPgY!AS20,WMID!AS20,EMID!AS20,SWALES!AS20,SWEST!AS20,LPN!AS20,SPN!AS20,EPN!AS20,SPD!AS20,SPMW!AS20,SSEH!AS20,SSES!AS20)</f>
        <v>15.34</v>
      </c>
      <c r="AT20" s="528">
        <f>CHOOSE($B$3,ENWL!AT20,NPgN!AT20,NPgY!AT20,WMID!AT20,EMID!AT20,SWALES!AT20,SWEST!AT20,LPN!AT20,SPN!AT20,EPN!AT20,SPD!AT20,SPMW!AT20,SSEH!AT20,SSES!AT20)</f>
        <v>15.24</v>
      </c>
      <c r="AU20" s="528">
        <f>CHOOSE($B$3,ENWL!AU20,NPgN!AU20,NPgY!AU20,WMID!AU20,EMID!AU20,SWALES!AU20,SWEST!AU20,LPN!AU20,SPN!AU20,EPN!AU20,SPD!AU20,SPMW!AU20,SSEH!AU20,SSES!AU20)</f>
        <v>14.92</v>
      </c>
      <c r="AV20" s="528">
        <f>CHOOSE($B$3,ENWL!AV20,NPgN!AV20,NPgY!AV20,WMID!AV20,EMID!AV20,SWALES!AV20,SWEST!AV20,LPN!AV20,SPN!AV20,EPN!AV20,SPD!AV20,SPMW!AV20,SSEH!AV20,SSES!AV20)</f>
        <v>14.69</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117.34</v>
      </c>
      <c r="AS21" s="528">
        <f>CHOOSE($B$3,ENWL!AS21,NPgN!AS21,NPgY!AS21,WMID!AS21,EMID!AS21,SWALES!AS21,SWEST!AS21,LPN!AS21,SPN!AS21,EPN!AS21,SPD!AS21,SPMW!AS21,SSEH!AS21,SSES!AS21)</f>
        <v>116.53</v>
      </c>
      <c r="AT21" s="528">
        <f>CHOOSE($B$3,ENWL!AT21,NPgN!AT21,NPgY!AT21,WMID!AT21,EMID!AT21,SWALES!AT21,SWEST!AT21,LPN!AT21,SPN!AT21,EPN!AT21,SPD!AT21,SPMW!AT21,SSEH!AT21,SSES!AT21)</f>
        <v>113.8</v>
      </c>
      <c r="AU21" s="528">
        <f>CHOOSE($B$3,ENWL!AU21,NPgN!AU21,NPgY!AU21,WMID!AU21,EMID!AU21,SWALES!AU21,SWEST!AU21,LPN!AU21,SPN!AU21,EPN!AU21,SPD!AU21,SPMW!AU21,SSEH!AU21,SSES!AU21)</f>
        <v>113.02</v>
      </c>
      <c r="AV21" s="528">
        <f>CHOOSE($B$3,ENWL!AV21,NPgN!AV21,NPgY!AV21,WMID!AV21,EMID!AV21,SWALES!AV21,SWEST!AV21,LPN!AV21,SPN!AV21,EPN!AV21,SPD!AV21,SPMW!AV21,SSEH!AV21,SSES!AV21)</f>
        <v>111.48</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-2.694059999999999</v>
      </c>
      <c r="AS24" s="207">
        <f>CHOOSE($B$3,ENWL!AS24,NPgN!AS24,NPgY!AS24,WMID!AS24,EMID!AS24,SWALES!AS24,SWEST!AS24,LPN!AS24,SPN!AS24,EPN!AS24,SPD!AS24,SPMW!AS24,SSEH!AS24,SSES!AS24)</f>
        <v>0.30258899999996663</v>
      </c>
      <c r="AT24" s="207">
        <f>CHOOSE($B$3,ENWL!AT24,NPgN!AT24,NPgY!AT24,WMID!AT24,EMID!AT24,SWALES!AT24,SWEST!AT24,LPN!AT24,SPN!AT24,EPN!AT24,SPD!AT24,SPMW!AT24,SSEH!AT24,SSES!AT24)</f>
        <v>3.3624299999999958</v>
      </c>
      <c r="AU24" s="207">
        <f>CHOOSE($B$3,ENWL!AU24,NPgN!AU24,NPgY!AU24,WMID!AU24,EMID!AU24,SWALES!AU24,SWEST!AU24,LPN!AU24,SPN!AU24,EPN!AU24,SPD!AU24,SPMW!AU24,SSEH!AU24,SSES!AU24)</f>
        <v>6.0644439999999991</v>
      </c>
      <c r="AV24" s="207">
        <f>CHOOSE($B$3,ENWL!AV24,NPgN!AV24,NPgY!AV24,WMID!AV24,EMID!AV24,SWALES!AV24,SWEST!AV24,LPN!AV24,SPN!AV24,EPN!AV24,SPD!AV24,SPMW!AV24,SSEH!AV24,SSES!AV24)</f>
        <v>8.9330579999999884</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-0.10551196864411216</v>
      </c>
      <c r="AS25" s="207">
        <f>CHOOSE($B$3,ENWL!AS25,NPgN!AS25,NPgY!AS25,WMID!AS25,EMID!AS25,SWALES!AS25,SWEST!AS25,LPN!AS25,SPN!AS25,EPN!AS25,SPD!AS25,SPMW!AS25,SSEH!AS25,SSES!AS25)</f>
        <v>1.2982184737719003E-2</v>
      </c>
      <c r="AT25" s="207">
        <f>CHOOSE($B$3,ENWL!AT25,NPgN!AT25,NPgY!AT25,WMID!AT25,EMID!AT25,SWALES!AT25,SWEST!AT25,LPN!AT25,SPN!AT25,EPN!AT25,SPD!AT25,SPMW!AT25,SSEH!AT25,SSES!AT25)</f>
        <v>0.1905815233674025</v>
      </c>
      <c r="AU25" s="207">
        <f>CHOOSE($B$3,ENWL!AU25,NPgN!AU25,NPgY!AU25,WMID!AU25,EMID!AU25,SWALES!AU25,SWEST!AU25,LPN!AU25,SPN!AU25,EPN!AU25,SPD!AU25,SPMW!AU25,SSEH!AU25,SSES!AU25)</f>
        <v>0.28737365575449114</v>
      </c>
      <c r="AV25" s="207">
        <f>CHOOSE($B$3,ENWL!AV25,NPgN!AV25,NPgY!AV25,WMID!AV25,EMID!AV25,SWALES!AV25,SWEST!AV25,LPN!AV25,SPN!AV25,EPN!AV25,SPD!AV25,SPMW!AV25,SSEH!AV25,SSES!AV25)</f>
        <v>0.55621991672182669</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0.38956539780320992</v>
      </c>
      <c r="AT31" s="476">
        <f>CHOOSE($B$3,ENWL!AT31,NPgN!AT31,NPgY!AT31,WMID!AT31,EMID!AT31,SWALES!AT31,SWEST!AT31,LPN!AT31,SPN!AT31,EPN!AT31,SPD!AT31,SPMW!AT31,SSEH!AT31,SSES!AT31)</f>
        <v>1.1686961934096205</v>
      </c>
      <c r="AU31" s="476">
        <f>CHOOSE($B$3,ENWL!AU31,NPgN!AU31,NPgY!AU31,WMID!AU31,EMID!AU31,SWALES!AU31,SWEST!AU31,LPN!AU31,SPN!AU31,EPN!AU31,SPD!AU31,SPMW!AU31,SSEH!AU31,SSES!AU31)</f>
        <v>2.337392386819241</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34.97</v>
      </c>
      <c r="AS33" s="476">
        <f>CHOOSE($B$3,ENWL!AS33,NPgN!AS33,NPgY!AS33,WMID!AS33,EMID!AS33,SWALES!AS33,SWEST!AS33,LPN!AS33,SPN!AS33,EPN!AS33,SPD!AS33,SPMW!AS33,SSEH!AS33,SSES!AS33)</f>
        <v>36.119999999999997</v>
      </c>
      <c r="AT33" s="476">
        <f>CHOOSE($B$3,ENWL!AT33,NPgN!AT33,NPgY!AT33,WMID!AT33,EMID!AT33,SWALES!AT33,SWEST!AT33,LPN!AT33,SPN!AT33,EPN!AT33,SPD!AT33,SPMW!AT33,SSEH!AT33,SSES!AT33)</f>
        <v>37.39</v>
      </c>
      <c r="AU33" s="476">
        <f>CHOOSE($B$3,ENWL!AU33,NPgN!AU33,NPgY!AU33,WMID!AU33,EMID!AU33,SWALES!AU33,SWEST!AU33,LPN!AU33,SPN!AU33,EPN!AU33,SPD!AU33,SPMW!AU33,SSEH!AU33,SSES!AU33)</f>
        <v>35.880000000000003</v>
      </c>
      <c r="AV33" s="476">
        <f>CHOOSE($B$3,ENWL!AV33,NPgN!AV33,NPgY!AV33,WMID!AV33,EMID!AV33,SWALES!AV33,SWEST!AV33,LPN!AV33,SPN!AV33,EPN!AV33,SPD!AV33,SPMW!AV33,SSEH!AV33,SSES!AV33)</f>
        <v>33.5</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4.688060613712743</v>
      </c>
      <c r="AS34" s="476">
        <f>CHOOSE($B$3,ENWL!AS34,NPgN!AS34,NPgY!AS34,WMID!AS34,EMID!AS34,SWALES!AS34,SWEST!AS34,LPN!AS34,SPN!AS34,EPN!AS34,SPD!AS34,SPMW!AS34,SSEH!AS34,SSES!AS34)</f>
        <v>3.4258453931345025</v>
      </c>
      <c r="AT34" s="476">
        <f>CHOOSE($B$3,ENWL!AT34,NPgN!AT34,NPgY!AT34,WMID!AT34,EMID!AT34,SWALES!AT34,SWEST!AT34,LPN!AT34,SPN!AT34,EPN!AT34,SPD!AT34,SPMW!AT34,SSEH!AT34,SSES!AT34)</f>
        <v>4.1764492454201383</v>
      </c>
      <c r="AU34" s="476">
        <f>CHOOSE($B$3,ENWL!AU34,NPgN!AU34,NPgY!AU34,WMID!AU34,EMID!AU34,SWALES!AU34,SWEST!AU34,LPN!AU34,SPN!AU34,EPN!AU34,SPD!AU34,SPMW!AU34,SSEH!AU34,SSES!AU34)</f>
        <v>5.3930657023653854</v>
      </c>
      <c r="AV34" s="476">
        <f>CHOOSE($B$3,ENWL!AV34,NPgN!AV34,NPgY!AV34,WMID!AV34,EMID!AV34,SWALES!AV34,SWEST!AV34,LPN!AV34,SPN!AV34,EPN!AV34,SPD!AV34,SPMW!AV34,SSEH!AV34,SSES!AV34)</f>
        <v>7.2128204694409881</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4.8996620333747156</v>
      </c>
      <c r="AS35" s="476">
        <f>CHOOSE($B$3,ENWL!AS35,NPgN!AS35,NPgY!AS35,WMID!AS35,EMID!AS35,SWALES!AS35,SWEST!AS35,LPN!AS35,SPN!AS35,EPN!AS35,SPD!AS35,SPMW!AS35,SSEH!AS35,SSES!AS35)</f>
        <v>5.4124963481908734</v>
      </c>
      <c r="AT35" s="476">
        <f>CHOOSE($B$3,ENWL!AT35,NPgN!AT35,NPgY!AT35,WMID!AT35,EMID!AT35,SWALES!AT35,SWEST!AT35,LPN!AT35,SPN!AT35,EPN!AT35,SPD!AT35,SPMW!AT35,SSEH!AT35,SSES!AT35)</f>
        <v>7.0040776715318964</v>
      </c>
      <c r="AU35" s="476">
        <f>CHOOSE($B$3,ENWL!AU35,NPgN!AU35,NPgY!AU35,WMID!AU35,EMID!AU35,SWALES!AU35,SWEST!AU35,LPN!AU35,SPN!AU35,EPN!AU35,SPD!AU35,SPMW!AU35,SSEH!AU35,SSES!AU35)</f>
        <v>8.3975493798681349</v>
      </c>
      <c r="AV35" s="476">
        <f>CHOOSE($B$3,ENWL!AV35,NPgN!AV35,NPgY!AV35,WMID!AV35,EMID!AV35,SWALES!AV35,SWEST!AV35,LPN!AV35,SPN!AV35,EPN!AV35,SPD!AV35,SPMW!AV35,SSEH!AV35,SSES!AV35)</f>
        <v>10.964300992056639</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4.1708850481032158</v>
      </c>
      <c r="AS36" s="476">
        <f>CHOOSE($B$3,ENWL!AS36,NPgN!AS36,NPgY!AS36,WMID!AS36,EMID!AS36,SWALES!AS36,SWEST!AS36,LPN!AS36,SPN!AS36,EPN!AS36,SPD!AS36,SPMW!AS36,SSEH!AS36,SSES!AS36)</f>
        <v>7.4780350457667035</v>
      </c>
      <c r="AT36" s="476">
        <f>CHOOSE($B$3,ENWL!AT36,NPgN!AT36,NPgY!AT36,WMID!AT36,EMID!AT36,SWALES!AT36,SWEST!AT36,LPN!AT36,SPN!AT36,EPN!AT36,SPD!AT36,SPMW!AT36,SSEH!AT36,SSES!AT36)</f>
        <v>23.409140580153817</v>
      </c>
      <c r="AU36" s="476">
        <f>CHOOSE($B$3,ENWL!AU36,NPgN!AU36,NPgY!AU36,WMID!AU36,EMID!AU36,SWALES!AU36,SWEST!AU36,LPN!AU36,SPN!AU36,EPN!AU36,SPD!AU36,SPMW!AU36,SSEH!AU36,SSES!AU36)</f>
        <v>30.015234769941479</v>
      </c>
      <c r="AV36" s="476">
        <f>CHOOSE($B$3,ENWL!AV36,NPgN!AV36,NPgY!AV36,WMID!AV36,EMID!AV36,SWALES!AV36,SWEST!AV36,LPN!AV36,SPN!AV36,EPN!AV36,SPD!AV36,SPMW!AV36,SSEH!AV36,SSES!AV36)</f>
        <v>34.953365752494932</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2.3715183156668016</v>
      </c>
      <c r="AT37" s="476">
        <f>CHOOSE($B$3,ENWL!AT37,NPgN!AT37,NPgY!AT37,WMID!AT37,EMID!AT37,SWALES!AT37,SWEST!AT37,LPN!AT37,SPN!AT37,EPN!AT37,SPD!AT37,SPMW!AT37,SSEH!AT37,SSES!AT37)</f>
        <v>0.79050610522226716</v>
      </c>
      <c r="AU37" s="476">
        <f>CHOOSE($B$3,ENWL!AU37,NPgN!AU37,NPgY!AU37,WMID!AU37,EMID!AU37,SWALES!AU37,SWEST!AU37,LPN!AU37,SPN!AU37,EPN!AU37,SPD!AU37,SPMW!AU37,SSEH!AU37,SSES!AU37)</f>
        <v>0.7072949362515023</v>
      </c>
      <c r="AV37" s="476">
        <f>CHOOSE($B$3,ENWL!AV37,NPgN!AV37,NPgY!AV37,WMID!AV37,EMID!AV37,SWALES!AV37,SWEST!AV37,LPN!AV37,SPN!AV37,EPN!AV37,SPD!AV37,SPMW!AV37,SSEH!AV37,SSES!AV37)</f>
        <v>1.4024354320915445E-2</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3.4384463213214569</v>
      </c>
      <c r="AS38" s="476">
        <f>CHOOSE($B$3,ENWL!AS38,NPgN!AS38,NPgY!AS38,WMID!AS38,EMID!AS38,SWALES!AS38,SWEST!AS38,LPN!AS38,SPN!AS38,EPN!AS38,SPD!AS38,SPMW!AS38,SSEH!AS38,SSES!AS38)</f>
        <v>5.5863079672528828</v>
      </c>
      <c r="AT38" s="476">
        <f>CHOOSE($B$3,ENWL!AT38,NPgN!AT38,NPgY!AT38,WMID!AT38,EMID!AT38,SWALES!AT38,SWEST!AT38,LPN!AT38,SPN!AT38,EPN!AT38,SPD!AT38,SPMW!AT38,SSEH!AT38,SSES!AT38)</f>
        <v>7.5039361582835298</v>
      </c>
      <c r="AU38" s="476">
        <f>CHOOSE($B$3,ENWL!AU38,NPgN!AU38,NPgY!AU38,WMID!AU38,EMID!AU38,SWALES!AU38,SWEST!AU38,LPN!AU38,SPN!AU38,EPN!AU38,SPD!AU38,SPMW!AU38,SSEH!AU38,SSES!AU38)</f>
        <v>0.43580351947396673</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1.0716019323746644</v>
      </c>
      <c r="AS39" s="476">
        <f>CHOOSE($B$3,ENWL!AS39,NPgN!AS39,NPgY!AS39,WMID!AS39,EMID!AS39,SWALES!AS39,SWEST!AS39,LPN!AS39,SPN!AS39,EPN!AS39,SPD!AS39,SPMW!AS39,SSEH!AS39,SSES!AS39)</f>
        <v>1.4092917830928826</v>
      </c>
      <c r="AT39" s="476">
        <f>CHOOSE($B$3,ENWL!AT39,NPgN!AT39,NPgY!AT39,WMID!AT39,EMID!AT39,SWALES!AT39,SWEST!AT39,LPN!AT39,SPN!AT39,EPN!AT39,SPD!AT39,SPMW!AT39,SSEH!AT39,SSES!AT39)</f>
        <v>1.4092917830928808</v>
      </c>
      <c r="AU39" s="476">
        <f>CHOOSE($B$3,ENWL!AU39,NPgN!AU39,NPgY!AU39,WMID!AU39,EMID!AU39,SWALES!AU39,SWEST!AU39,LPN!AU39,SPN!AU39,EPN!AU39,SPD!AU39,SPMW!AU39,SSEH!AU39,SSES!AU39)</f>
        <v>1.2731308852527041</v>
      </c>
      <c r="AV39" s="476">
        <f>CHOOSE($B$3,ENWL!AV39,NPgN!AV39,NPgY!AV39,WMID!AV39,EMID!AV39,SWALES!AV39,SWEST!AV39,LPN!AV39,SPN!AV39,EPN!AV39,SPD!AV39,SPMW!AV39,SSEH!AV39,SSES!AV39)</f>
        <v>1.2481675345614747</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1.79</v>
      </c>
      <c r="AS40" s="476">
        <f>CHOOSE($B$3,ENWL!AS40,NPgN!AS40,NPgY!AS40,WMID!AS40,EMID!AS40,SWALES!AS40,SWEST!AS40,LPN!AS40,SPN!AS40,EPN!AS40,SPD!AS40,SPMW!AS40,SSEH!AS40,SSES!AS40)</f>
        <v>1.78</v>
      </c>
      <c r="AT40" s="476">
        <f>CHOOSE($B$3,ENWL!AT40,NPgN!AT40,NPgY!AT40,WMID!AT40,EMID!AT40,SWALES!AT40,SWEST!AT40,LPN!AT40,SPN!AT40,EPN!AT40,SPD!AT40,SPMW!AT40,SSEH!AT40,SSES!AT40)</f>
        <v>0.77</v>
      </c>
      <c r="AU40" s="476">
        <f>CHOOSE($B$3,ENWL!AU40,NPgN!AU40,NPgY!AU40,WMID!AU40,EMID!AU40,SWALES!AU40,SWEST!AU40,LPN!AU40,SPN!AU40,EPN!AU40,SPD!AU40,SPMW!AU40,SSEH!AU40,SSES!AU40)</f>
        <v>0.77</v>
      </c>
      <c r="AV40" s="476">
        <f>CHOOSE($B$3,ENWL!AV40,NPgN!AV40,NPgY!AV40,WMID!AV40,EMID!AV40,SWALES!AV40,SWEST!AV40,LPN!AV40,SPN!AV40,EPN!AV40,SPD!AV40,SPMW!AV40,SSEH!AV40,SSES!AV40)</f>
        <v>0.77</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6.2</v>
      </c>
      <c r="AS41" s="476">
        <f>CHOOSE($B$3,ENWL!AS41,NPgN!AS41,NPgY!AS41,WMID!AS41,EMID!AS41,SWALES!AS41,SWEST!AS41,LPN!AS41,SPN!AS41,EPN!AS41,SPD!AS41,SPMW!AS41,SSEH!AS41,SSES!AS41)</f>
        <v>2.3899999999999997</v>
      </c>
      <c r="AT41" s="476">
        <f>CHOOSE($B$3,ENWL!AT41,NPgN!AT41,NPgY!AT41,WMID!AT41,EMID!AT41,SWALES!AT41,SWEST!AT41,LPN!AT41,SPN!AT41,EPN!AT41,SPD!AT41,SPMW!AT41,SSEH!AT41,SSES!AT41)</f>
        <v>1.6979089369759213</v>
      </c>
      <c r="AU41" s="476">
        <f>CHOOSE($B$3,ENWL!AU41,NPgN!AU41,NPgY!AU41,WMID!AU41,EMID!AU41,SWALES!AU41,SWEST!AU41,LPN!AU41,SPN!AU41,EPN!AU41,SPD!AU41,SPMW!AU41,SSEH!AU41,SSES!AU41)</f>
        <v>1.2679089369759211</v>
      </c>
      <c r="AV41" s="476">
        <f>CHOOSE($B$3,ENWL!AV41,NPgN!AV41,NPgY!AV41,WMID!AV41,EMID!AV41,SWALES!AV41,SWEST!AV41,LPN!AV41,SPN!AV41,EPN!AV41,SPD!AV41,SPMW!AV41,SSEH!AV41,SSES!AV41)</f>
        <v>1.1679089369759212</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5.35</v>
      </c>
      <c r="AS42" s="476">
        <f>CHOOSE($B$3,ENWL!AS42,NPgN!AS42,NPgY!AS42,WMID!AS42,EMID!AS42,SWALES!AS42,SWEST!AS42,LPN!AS42,SPN!AS42,EPN!AS42,SPD!AS42,SPMW!AS42,SSEH!AS42,SSES!AS42)</f>
        <v>2.4400000000000004</v>
      </c>
      <c r="AT42" s="476">
        <f>CHOOSE($B$3,ENWL!AT42,NPgN!AT42,NPgY!AT42,WMID!AT42,EMID!AT42,SWALES!AT42,SWEST!AT42,LPN!AT42,SPN!AT42,EPN!AT42,SPD!AT42,SPMW!AT42,SSEH!AT42,SSES!AT42)</f>
        <v>2.7265273250103745</v>
      </c>
      <c r="AU42" s="476">
        <f>CHOOSE($B$3,ENWL!AU42,NPgN!AU42,NPgY!AU42,WMID!AU42,EMID!AU42,SWALES!AU42,SWEST!AU42,LPN!AU42,SPN!AU42,EPN!AU42,SPD!AU42,SPMW!AU42,SSEH!AU42,SSES!AU42)</f>
        <v>2.2565273250103743</v>
      </c>
      <c r="AV42" s="476">
        <f>CHOOSE($B$3,ENWL!AV42,NPgN!AV42,NPgY!AV42,WMID!AV42,EMID!AV42,SWALES!AV42,SWEST!AV42,LPN!AV42,SPN!AV42,EPN!AV42,SPD!AV42,SPMW!AV42,SSEH!AV42,SSES!AV42)</f>
        <v>2.2565273250103743</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14.94</v>
      </c>
      <c r="AS49" s="476">
        <f>CHOOSE($B$3,ENWL!AS49,NPgN!AS49,NPgY!AS49,WMID!AS49,EMID!AS49,SWALES!AS49,SWEST!AS49,LPN!AS49,SPN!AS49,EPN!AS49,SPD!AS49,SPMW!AS49,SSEH!AS49,SSES!AS49)</f>
        <v>14.75</v>
      </c>
      <c r="AT49" s="476">
        <f>CHOOSE($B$3,ENWL!AT49,NPgN!AT49,NPgY!AT49,WMID!AT49,EMID!AT49,SWALES!AT49,SWEST!AT49,LPN!AT49,SPN!AT49,EPN!AT49,SPD!AT49,SPMW!AT49,SSEH!AT49,SSES!AT49)</f>
        <v>14.56</v>
      </c>
      <c r="AU49" s="476">
        <f>CHOOSE($B$3,ENWL!AU49,NPgN!AU49,NPgY!AU49,WMID!AU49,EMID!AU49,SWALES!AU49,SWEST!AU49,LPN!AU49,SPN!AU49,EPN!AU49,SPD!AU49,SPMW!AU49,SSEH!AU49,SSES!AU49)</f>
        <v>14.37</v>
      </c>
      <c r="AV49" s="476">
        <f>CHOOSE($B$3,ENWL!AV49,NPgN!AV49,NPgY!AV49,WMID!AV49,EMID!AV49,SWALES!AV49,SWEST!AV49,LPN!AV49,SPN!AV49,EPN!AV49,SPD!AV49,SPMW!AV49,SSEH!AV49,SSES!AV49)</f>
        <v>14.23</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0.72207608407767954</v>
      </c>
      <c r="AS50" s="476">
        <f>CHOOSE($B$3,ENWL!AS50,NPgN!AS50,NPgY!AS50,WMID!AS50,EMID!AS50,SWALES!AS50,SWEST!AS50,LPN!AS50,SPN!AS50,EPN!AS50,SPD!AS50,SPMW!AS50,SSEH!AS50,SSES!AS50)</f>
        <v>3.2112654871713948</v>
      </c>
      <c r="AT50" s="476">
        <f>CHOOSE($B$3,ENWL!AT50,NPgN!AT50,NPgY!AT50,WMID!AT50,EMID!AT50,SWALES!AT50,SWEST!AT50,LPN!AT50,SPN!AT50,EPN!AT50,SPD!AT50,SPMW!AT50,SSEH!AT50,SSES!AT50)</f>
        <v>3.8277137726551884</v>
      </c>
      <c r="AU50" s="476">
        <f>CHOOSE($B$3,ENWL!AU50,NPgN!AU50,NPgY!AU50,WMID!AU50,EMID!AU50,SWALES!AU50,SWEST!AU50,LPN!AU50,SPN!AU50,EPN!AU50,SPD!AU50,SPMW!AU50,SSEH!AU50,SSES!AU50)</f>
        <v>7.489005207368848</v>
      </c>
      <c r="AV50" s="476">
        <f>CHOOSE($B$3,ENWL!AV50,NPgN!AV50,NPgY!AV50,WMID!AV50,EMID!AV50,SWALES!AV50,SWEST!AV50,LPN!AV50,SPN!AV50,EPN!AV50,SPD!AV50,SPMW!AV50,SSEH!AV50,SSES!AV50)</f>
        <v>5.3587992817172641</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5.15</v>
      </c>
      <c r="AS52" s="476">
        <f>CHOOSE($B$3,ENWL!AS52,NPgN!AS52,NPgY!AS52,WMID!AS52,EMID!AS52,SWALES!AS52,SWEST!AS52,LPN!AS52,SPN!AS52,EPN!AS52,SPD!AS52,SPMW!AS52,SSEH!AS52,SSES!AS52)</f>
        <v>4.42</v>
      </c>
      <c r="AT52" s="476">
        <f>CHOOSE($B$3,ENWL!AT52,NPgN!AT52,NPgY!AT52,WMID!AT52,EMID!AT52,SWALES!AT52,SWEST!AT52,LPN!AT52,SPN!AT52,EPN!AT52,SPD!AT52,SPMW!AT52,SSEH!AT52,SSES!AT52)</f>
        <v>3.66</v>
      </c>
      <c r="AU52" s="476">
        <f>CHOOSE($B$3,ENWL!AU52,NPgN!AU52,NPgY!AU52,WMID!AU52,EMID!AU52,SWALES!AU52,SWEST!AU52,LPN!AU52,SPN!AU52,EPN!AU52,SPD!AU52,SPMW!AU52,SSEH!AU52,SSES!AU52)</f>
        <v>2.46</v>
      </c>
      <c r="AV52" s="476">
        <f>CHOOSE($B$3,ENWL!AV52,NPgN!AV52,NPgY!AV52,WMID!AV52,EMID!AV52,SWALES!AV52,SWEST!AV52,LPN!AV52,SPN!AV52,EPN!AV52,SPD!AV52,SPMW!AV52,SSEH!AV52,SSES!AV52)</f>
        <v>2.44</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1.880018719094557</v>
      </c>
      <c r="AS53" s="476">
        <f>CHOOSE($B$3,ENWL!AS53,NPgN!AS53,NPgY!AS53,WMID!AS53,EMID!AS53,SWALES!AS53,SWEST!AS53,LPN!AS53,SPN!AS53,EPN!AS53,SPD!AS53,SPMW!AS53,SSEH!AS53,SSES!AS53)</f>
        <v>3.4075764554162702</v>
      </c>
      <c r="AT53" s="476">
        <f>CHOOSE($B$3,ENWL!AT53,NPgN!AT53,NPgY!AT53,WMID!AT53,EMID!AT53,SWALES!AT53,SWEST!AT53,LPN!AT53,SPN!AT53,EPN!AT53,SPD!AT53,SPMW!AT53,SSEH!AT53,SSES!AT53)</f>
        <v>4.0882876818239584</v>
      </c>
      <c r="AU53" s="476">
        <f>CHOOSE($B$3,ENWL!AU53,NPgN!AU53,NPgY!AU53,WMID!AU53,EMID!AU53,SWALES!AU53,SWEST!AU53,LPN!AU53,SPN!AU53,EPN!AU53,SPD!AU53,SPMW!AU53,SSEH!AU53,SSES!AU53)</f>
        <v>5.1186524867859937</v>
      </c>
      <c r="AV53" s="476">
        <f>CHOOSE($B$3,ENWL!AV53,NPgN!AV53,NPgY!AV53,WMID!AV53,EMID!AV53,SWALES!AV53,SWEST!AV53,LPN!AV53,SPN!AV53,EPN!AV53,SPD!AV53,SPMW!AV53,SSEH!AV53,SSES!AV53)</f>
        <v>5.4477872213661556</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1.4859296310805927</v>
      </c>
      <c r="AS54" s="476">
        <f>CHOOSE($B$3,ENWL!AS54,NPgN!AS54,NPgY!AS54,WMID!AS54,EMID!AS54,SWALES!AS54,SWEST!AS54,LPN!AS54,SPN!AS54,EPN!AS54,SPD!AS54,SPMW!AS54,SSEH!AS54,SSES!AS54)</f>
        <v>1.7621686930059444</v>
      </c>
      <c r="AT54" s="476">
        <f>CHOOSE($B$3,ENWL!AT54,NPgN!AT54,NPgY!AT54,WMID!AT54,EMID!AT54,SWALES!AT54,SWEST!AT54,LPN!AT54,SPN!AT54,EPN!AT54,SPD!AT54,SPMW!AT54,SSEH!AT54,SSES!AT54)</f>
        <v>3.7356840896874317</v>
      </c>
      <c r="AU54" s="476">
        <f>CHOOSE($B$3,ENWL!AU54,NPgN!AU54,NPgY!AU54,WMID!AU54,EMID!AU54,SWALES!AU54,SWEST!AU54,LPN!AU54,SPN!AU54,EPN!AU54,SPD!AU54,SPMW!AU54,SSEH!AU54,SSES!AU54)</f>
        <v>4.7310317840348999</v>
      </c>
      <c r="AV54" s="476">
        <f>CHOOSE($B$3,ENWL!AV54,NPgN!AV54,NPgY!AV54,WMID!AV54,EMID!AV54,SWALES!AV54,SWEST!AV54,LPN!AV54,SPN!AV54,EPN!AV54,SPD!AV54,SPMW!AV54,SSEH!AV54,SSES!AV54)</f>
        <v>5.7380926191111952</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7.76</v>
      </c>
      <c r="AS55" s="476">
        <f>CHOOSE($B$3,ENWL!AS55,NPgN!AS55,NPgY!AS55,WMID!AS55,EMID!AS55,SWALES!AS55,SWEST!AS55,LPN!AS55,SPN!AS55,EPN!AS55,SPD!AS55,SPMW!AS55,SSEH!AS55,SSES!AS55)</f>
        <v>6.24</v>
      </c>
      <c r="AT55" s="476">
        <f>CHOOSE($B$3,ENWL!AT55,NPgN!AT55,NPgY!AT55,WMID!AT55,EMID!AT55,SWALES!AT55,SWEST!AT55,LPN!AT55,SPN!AT55,EPN!AT55,SPD!AT55,SPMW!AT55,SSEH!AT55,SSES!AT55)</f>
        <v>6.16</v>
      </c>
      <c r="AU55" s="476">
        <f>CHOOSE($B$3,ENWL!AU55,NPgN!AU55,NPgY!AU55,WMID!AU55,EMID!AU55,SWALES!AU55,SWEST!AU55,LPN!AU55,SPN!AU55,EPN!AU55,SPD!AU55,SPMW!AU55,SSEH!AU55,SSES!AU55)</f>
        <v>6.08</v>
      </c>
      <c r="AV55" s="476">
        <f>CHOOSE($B$3,ENWL!AV55,NPgN!AV55,NPgY!AV55,WMID!AV55,EMID!AV55,SWALES!AV55,SWEST!AV55,LPN!AV55,SPN!AV55,EPN!AV55,SPD!AV55,SPMW!AV55,SSEH!AV55,SSES!AV55)</f>
        <v>6.02</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3.8956539780320681E-2</v>
      </c>
      <c r="AT58" s="476">
        <f>CHOOSE($B$3,ENWL!AT58,NPgN!AT58,NPgY!AT58,WMID!AT58,EMID!AT58,SWALES!AT58,SWEST!AT58,LPN!AT58,SPN!AT58,EPN!AT58,SPD!AT58,SPMW!AT58,SSEH!AT58,SSES!AT58)</f>
        <v>3.5528364279652456</v>
      </c>
      <c r="AU58" s="476">
        <f>CHOOSE($B$3,ENWL!AU58,NPgN!AU58,NPgY!AU58,WMID!AU58,EMID!AU58,SWALES!AU58,SWEST!AU58,LPN!AU58,SPN!AU58,EPN!AU58,SPD!AU58,SPMW!AU58,SSEH!AU58,SSES!AU58)</f>
        <v>4.0203149053290943</v>
      </c>
      <c r="AV58" s="476">
        <f>CHOOSE($B$3,ENWL!AV58,NPgN!AV58,NPgY!AV58,WMID!AV58,EMID!AV58,SWALES!AV58,SWEST!AV58,LPN!AV58,SPN!AV58,EPN!AV58,SPD!AV58,SPMW!AV58,SSEH!AV58,SSES!AV58)</f>
        <v>12.318057878537399</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3.2723493415469374E-2</v>
      </c>
      <c r="AS59" s="476">
        <f>CHOOSE($B$3,ENWL!AS59,NPgN!AS59,NPgY!AS59,WMID!AS59,EMID!AS59,SWALES!AS59,SWEST!AS59,LPN!AS59,SPN!AS59,EPN!AS59,SPD!AS59,SPMW!AS59,SSEH!AS59,SSES!AS59)</f>
        <v>3.1165231824253424E-2</v>
      </c>
      <c r="AT59" s="476">
        <f>CHOOSE($B$3,ENWL!AT59,NPgN!AT59,NPgY!AT59,WMID!AT59,EMID!AT59,SWALES!AT59,SWEST!AT59,LPN!AT59,SPN!AT59,EPN!AT59,SPD!AT59,SPMW!AT59,SSEH!AT59,SSES!AT59)</f>
        <v>0.74505239373738474</v>
      </c>
      <c r="AU59" s="476">
        <f>CHOOSE($B$3,ENWL!AU59,NPgN!AU59,NPgY!AU59,WMID!AU59,EMID!AU59,SWALES!AU59,SWEST!AU59,LPN!AU59,SPN!AU59,EPN!AU59,SPD!AU59,SPMW!AU59,SSEH!AU59,SSES!AU59)</f>
        <v>5.2368123313107597</v>
      </c>
      <c r="AV59" s="476">
        <f>CHOOSE($B$3,ENWL!AV59,NPgN!AV59,NPgY!AV59,WMID!AV59,EMID!AV59,SWALES!AV59,SWEST!AV59,LPN!AV59,SPN!AV59,EPN!AV59,SPD!AV59,SPMW!AV59,SSEH!AV59,SSES!AV59)</f>
        <v>7.4672487590323335</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0.11670994146899617</v>
      </c>
      <c r="AP74" s="263">
        <f>CHOOSE($B$3,ENWL!AP74,NPgN!AP74,NPgY!AP74,WMID!AP74,EMID!AP74,SWALES!AP74,SWEST!AP74,LPN!AP74,SPN!AP74,EPN!AP74,SPD!AP74,SPMW!AP74,SSEH!AP74,SSES!AP74)</f>
        <v>0.26203154764524306</v>
      </c>
      <c r="AQ74" s="494">
        <f>CHOOSE($B$3,ENWL!AQ74,NPgN!AQ74,NPgY!AQ74,WMID!AQ74,EMID!AQ74,SWALES!AQ74,SWEST!AQ74,LPN!AQ74,SPN!AQ74,EPN!AQ74,SPD!AQ74,SPMW!AQ74,SSEH!AQ74,SSES!AQ74)</f>
        <v>9.3699901295729318E-2</v>
      </c>
      <c r="AR74" s="263">
        <f>CHOOSE($B$3,ENWL!AR74,NPgN!AR74,NPgY!AR74,WMID!AR74,EMID!AR74,SWALES!AR74,SWEST!AR74,LPN!AR74,SPN!AR74,EPN!AR74,SPD!AR74,SPMW!AR74,SSEH!AR74,SSES!AR74)</f>
        <v>9.2115603447733896E-2</v>
      </c>
      <c r="AS74" s="263">
        <f>CHOOSE($B$3,ENWL!AS74,NPgN!AS74,NPgY!AS74,WMID!AS74,EMID!AS74,SWALES!AS74,SWEST!AS74,LPN!AS74,SPN!AS74,EPN!AS74,SPD!AS74,SPMW!AS74,SSEH!AS74,SSES!AS74)</f>
        <v>1.6804873601951455E-2</v>
      </c>
      <c r="AT74" s="263">
        <f>CHOOSE($B$3,ENWL!AT74,NPgN!AT74,NPgY!AT74,WMID!AT74,EMID!AT74,SWALES!AT74,SWEST!AT74,LPN!AT74,SPN!AT74,EPN!AT74,SPD!AT74,SPMW!AT74,SSEH!AT74,SSES!AT74)</f>
        <v>4.7522648543640494E-2</v>
      </c>
      <c r="AU74" s="263">
        <f>CHOOSE($B$3,ENWL!AU74,NPgN!AU74,NPgY!AU74,WMID!AU74,EMID!AU74,SWALES!AU74,SWEST!AU74,LPN!AU74,SPN!AU74,EPN!AU74,SPD!AU74,SPMW!AU74,SSEH!AU74,SSES!AU74)</f>
        <v>0.37111548399670569</v>
      </c>
      <c r="AV74" s="263"/>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0.78399861910075919</v>
      </c>
      <c r="AP75" s="263">
        <f>CHOOSE($B$3,ENWL!AP75,NPgN!AP75,NPgY!AP75,WMID!AP75,EMID!AP75,SWALES!AP75,SWEST!AP75,LPN!AP75,SPN!AP75,EPN!AP75,SPD!AP75,SPMW!AP75,SSEH!AP75,SSES!AP75)</f>
        <v>0.21600138089924087</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24.749470504918811</v>
      </c>
      <c r="AS126" s="476">
        <f>CHOOSE($B$3,ENWL!AS126,NPgN!AS126,NPgY!AS126,WMID!AS126,EMID!AS126,SWALES!AS126,SWEST!AS126,LPN!AS126,SPN!AS126,EPN!AS126,SPD!AS126,SPMW!AS126,SSEH!AS126,SSES!AS126)</f>
        <v>56.218596179455034</v>
      </c>
      <c r="AT126" s="476">
        <f>CHOOSE($B$3,ENWL!AT126,NPgN!AT126,NPgY!AT126,WMID!AT126,EMID!AT126,SWALES!AT126,SWEST!AT126,LPN!AT126,SPN!AT126,EPN!AT126,SPD!AT126,SPMW!AT126,SSEH!AT126,SSES!AT126)</f>
        <v>41.975765863528736</v>
      </c>
      <c r="AU126" s="476">
        <f>CHOOSE($B$3,ENWL!AU126,NPgN!AU126,NPgY!AU126,WMID!AU126,EMID!AU126,SWALES!AU126,SWEST!AU126,LPN!AU126,SPN!AU126,EPN!AU126,SPD!AU126,SPMW!AU126,SSEH!AU126,SSES!AU126)</f>
        <v>31.870564315112517</v>
      </c>
      <c r="AV126" s="476">
        <f>CHOOSE($B$3,ENWL!AV126,NPgN!AV126,NPgY!AV126,WMID!AV126,EMID!AV126,SWALES!AV126,SWEST!AV126,LPN!AV126,SPN!AV126,EPN!AV126,SPD!AV126,SPMW!AV126,SSEH!AV126,SSES!AV126)</f>
        <v>32.705033768168164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61.571399470284348</v>
      </c>
      <c r="AS127" s="476">
        <f>CHOOSE($B$3,ENWL!AS127,NPgN!AS127,NPgY!AS127,WMID!AS127,EMID!AS127,SWALES!AS127,SWEST!AS127,LPN!AS127,SPN!AS127,EPN!AS127,SPD!AS127,SPMW!AS127,SSEH!AS127,SSES!AS127)</f>
        <v>77.627001789921152</v>
      </c>
      <c r="AT127" s="476">
        <f>CHOOSE($B$3,ENWL!AT127,NPgN!AT127,NPgY!AT127,WMID!AT127,EMID!AT127,SWALES!AT127,SWEST!AT127,LPN!AT127,SPN!AT127,EPN!AT127,SPD!AT127,SPMW!AT127,SSEH!AT127,SSES!AT127)</f>
        <v>89.13515767610177</v>
      </c>
      <c r="AU127" s="476">
        <f>CHOOSE($B$3,ENWL!AU127,NPgN!AU127,NPgY!AU127,WMID!AU127,EMID!AU127,SWALES!AU127,SWEST!AU127,LPN!AU127,SPN!AU127,EPN!AU127,SPD!AU127,SPMW!AU127,SSEH!AU127,SSES!AU127)</f>
        <v>97.554682164373958</v>
      </c>
      <c r="AV127" s="476">
        <f>CHOOSE($B$3,ENWL!AV127,NPgN!AV127,NPgY!AV127,WMID!AV127,EMID!AV127,SWALES!AV127,SWEST!AV127,LPN!AV127,SPN!AV127,EPN!AV127,SPD!AV127,SPMW!AV127,SSEH!AV127,SSES!AV127)</f>
        <v>93.814685979993811</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34.996172735871681</v>
      </c>
      <c r="AS128" s="476">
        <f>CHOOSE($B$3,ENWL!AS128,NPgN!AS128,NPgY!AS128,WMID!AS128,EMID!AS128,SWALES!AS128,SWEST!AS128,LPN!AS128,SPN!AS128,EPN!AS128,SPD!AS128,SPMW!AS128,SSEH!AS128,SSES!AS128)</f>
        <v>38.843885299746688</v>
      </c>
      <c r="AT128" s="476">
        <f>CHOOSE($B$3,ENWL!AT128,NPgN!AT128,NPgY!AT128,WMID!AT128,EMID!AT128,SWALES!AT128,SWEST!AT128,LPN!AT128,SPN!AT128,EPN!AT128,SPD!AT128,SPMW!AT128,SSEH!AT128,SSES!AT128)</f>
        <v>38.558717256420906</v>
      </c>
      <c r="AU128" s="476">
        <f>CHOOSE($B$3,ENWL!AU128,NPgN!AU128,NPgY!AU128,WMID!AU128,EMID!AU128,SWALES!AU128,SWEST!AU128,LPN!AU128,SPN!AU128,EPN!AU128,SPD!AU128,SPMW!AU128,SSEH!AU128,SSES!AU128)</f>
        <v>31.211406685727638</v>
      </c>
      <c r="AV128" s="476">
        <f>CHOOSE($B$3,ENWL!AV128,NPgN!AV128,NPgY!AV128,WMID!AV128,EMID!AV128,SWALES!AV128,SWEST!AV128,LPN!AV128,SPN!AV128,EPN!AV128,SPD!AV128,SPMW!AV128,SSEH!AV128,SSES!AV128)</f>
        <v>26.127254339102397</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28.902803686529925</v>
      </c>
      <c r="AS129" s="476">
        <f>CHOOSE($B$3,ENWL!AS129,NPgN!AS129,NPgY!AS129,WMID!AS129,EMID!AS129,SWALES!AS129,SWEST!AS129,LPN!AS129,SPN!AS129,EPN!AS129,SPD!AS129,SPMW!AS129,SSEH!AS129,SSES!AS129)</f>
        <v>29.143169208271821</v>
      </c>
      <c r="AT129" s="476">
        <f>CHOOSE($B$3,ENWL!AT129,NPgN!AT129,NPgY!AT129,WMID!AT129,EMID!AT129,SWALES!AT129,SWEST!AT129,LPN!AT129,SPN!AT129,EPN!AT129,SPD!AT129,SPMW!AT129,SSEH!AT129,SSES!AT129)</f>
        <v>30.348755187720009</v>
      </c>
      <c r="AU129" s="476">
        <f>CHOOSE($B$3,ENWL!AU129,NPgN!AU129,NPgY!AU129,WMID!AU129,EMID!AU129,SWALES!AU129,SWEST!AU129,LPN!AU129,SPN!AU129,EPN!AU129,SPD!AU129,SPMW!AU129,SSEH!AU129,SSES!AU129)</f>
        <v>31.266603040578239</v>
      </c>
      <c r="AV129" s="476">
        <f>CHOOSE($B$3,ENWL!AV129,NPgN!AV129,NPgY!AV129,WMID!AV129,EMID!AV129,SWALES!AV129,SWEST!AV129,LPN!AV129,SPN!AV129,EPN!AV129,SPD!AV129,SPMW!AV129,SSEH!AV129,SSES!AV129)</f>
        <v>31.427628083482336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5.4933536209762854</v>
      </c>
      <c r="AS130" s="476">
        <f>CHOOSE($B$3,ENWL!AS130,NPgN!AS130,NPgY!AS130,WMID!AS130,EMID!AS130,SWALES!AS130,SWEST!AS130,LPN!AS130,SPN!AS130,EPN!AS130,SPD!AS130,SPMW!AS130,SSEH!AS130,SSES!AS130)</f>
        <v>5.5344202968291825</v>
      </c>
      <c r="AT130" s="476">
        <f>CHOOSE($B$3,ENWL!AT130,NPgN!AT130,NPgY!AT130,WMID!AT130,EMID!AT130,SWALES!AT130,SWEST!AT130,LPN!AT130,SPN!AT130,EPN!AT130,SPD!AT130,SPMW!AT130,SSEH!AT130,SSES!AT130)</f>
        <v>5.5691940758123835</v>
      </c>
      <c r="AU130" s="476">
        <f>CHOOSE($B$3,ENWL!AU130,NPgN!AU130,NPgY!AU130,WMID!AU130,EMID!AU130,SWALES!AU130,SWEST!AU130,LPN!AU130,SPN!AU130,EPN!AU130,SPD!AU130,SPMW!AU130,SSEH!AU130,SSES!AU130)</f>
        <v>5.4951738695044305</v>
      </c>
      <c r="AV130" s="476">
        <f>CHOOSE($B$3,ENWL!AV130,NPgN!AV130,NPgY!AV130,WMID!AV130,EMID!AV130,SWALES!AV130,SWEST!AV130,LPN!AV130,SPN!AV130,EPN!AV130,SPD!AV130,SPMW!AV130,SSEH!AV130,SSES!AV130)</f>
        <v>5.4611675950459775</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14.548204838695739</v>
      </c>
      <c r="AS131" s="476">
        <f>CHOOSE($B$3,ENWL!AS131,NPgN!AS131,NPgY!AS131,WMID!AS131,EMID!AS131,SWALES!AS131,SWEST!AS131,LPN!AS131,SPN!AS131,EPN!AS131,SPD!AS131,SPMW!AS131,SSEH!AS131,SSES!AS131)</f>
        <v>15.268458777090785</v>
      </c>
      <c r="AT131" s="476">
        <f>CHOOSE($B$3,ENWL!AT131,NPgN!AT131,NPgY!AT131,WMID!AT131,EMID!AT131,SWALES!AT131,SWEST!AT131,LPN!AT131,SPN!AT131,EPN!AT131,SPD!AT131,SPMW!AT131,SSEH!AT131,SSES!AT131)</f>
        <v>15.469376571377039</v>
      </c>
      <c r="AU131" s="476">
        <f>CHOOSE($B$3,ENWL!AU131,NPgN!AU131,NPgY!AU131,WMID!AU131,EMID!AU131,SWALES!AU131,SWEST!AU131,LPN!AU131,SPN!AU131,EPN!AU131,SPD!AU131,SPMW!AU131,SSEH!AU131,SSES!AU131)</f>
        <v>15.583631272058838</v>
      </c>
      <c r="AV131" s="476">
        <f>CHOOSE($B$3,ENWL!AV131,NPgN!AV131,NPgY!AV131,WMID!AV131,EMID!AV131,SWALES!AV131,SWEST!AV131,LPN!AV131,SPN!AV131,EPN!AV131,SPD!AV131,SPMW!AV131,SSEH!AV131,SSES!AV131)</f>
        <v>15.587255036858997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117.9379716643452</v>
      </c>
      <c r="AS132" s="476">
        <f>CHOOSE($B$3,ENWL!AS132,NPgN!AS132,NPgY!AS132,WMID!AS132,EMID!AS132,SWALES!AS132,SWEST!AS132,LPN!AS132,SPN!AS132,EPN!AS132,SPD!AS132,SPMW!AS132,SSEH!AS132,SSES!AS132)</f>
        <v>117.7610772905749</v>
      </c>
      <c r="AT132" s="476">
        <f>CHOOSE($B$3,ENWL!AT132,NPgN!AT132,NPgY!AT132,WMID!AT132,EMID!AT132,SWALES!AT132,SWEST!AT132,LPN!AT132,SPN!AT132,EPN!AT132,SPD!AT132,SPMW!AT132,SSEH!AT132,SSES!AT132)</f>
        <v>119.3093587107489</v>
      </c>
      <c r="AU132" s="476">
        <f>CHOOSE($B$3,ENWL!AU132,NPgN!AU132,NPgY!AU132,WMID!AU132,EMID!AU132,SWALES!AU132,SWEST!AU132,LPN!AU132,SPN!AU132,EPN!AU132,SPD!AU132,SPMW!AU132,SSEH!AU132,SSES!AU132)</f>
        <v>119.48930737611947</v>
      </c>
      <c r="AV132" s="476">
        <f>CHOOSE($B$3,ENWL!AV132,NPgN!AV132,NPgY!AV132,WMID!AV132,EMID!AV132,SWALES!AV132,SWEST!AV132,LPN!AV132,SPN!AV132,EPN!AV132,SPD!AV132,SPMW!AV132,SSEH!AV132,SSES!AV132)</f>
        <v>120.09616618132007</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14.680947141749266</v>
      </c>
      <c r="AS135" s="476">
        <f>CHOOSE($B$3,ENWL!AS135,NPgN!AS135,NPgY!AS135,WMID!AS135,EMID!AS135,SWALES!AS135,SWEST!AS135,LPN!AS135,SPN!AS135,EPN!AS135,SPD!AS135,SPMW!AS135,SSEH!AS135,SSES!AS135)</f>
        <v>17.32433129465927</v>
      </c>
      <c r="AT135" s="476">
        <f>CHOOSE($B$3,ENWL!AT135,NPgN!AT135,NPgY!AT135,WMID!AT135,EMID!AT135,SWALES!AT135,SWEST!AT135,LPN!AT135,SPN!AT135,EPN!AT135,SPD!AT135,SPMW!AT135,SSEH!AT135,SSES!AT135)</f>
        <v>35.703708871658762</v>
      </c>
      <c r="AU135" s="476">
        <f>CHOOSE($B$3,ENWL!AU135,NPgN!AU135,NPgY!AU135,WMID!AU135,EMID!AU135,SWALES!AU135,SWEST!AU135,LPN!AU135,SPN!AU135,EPN!AU135,SPD!AU135,SPMW!AU135,SSEH!AU135,SSES!AU135)</f>
        <v>45.084420276836113</v>
      </c>
      <c r="AV135" s="476">
        <f>CHOOSE($B$3,ENWL!AV135,NPgN!AV135,NPgY!AV135,WMID!AV135,EMID!AV135,SWALES!AV135,SWEST!AV135,LPN!AV135,SPN!AV135,EPN!AV135,SPD!AV135,SPMW!AV135,SSEH!AV135,SSES!AV135)</f>
        <v>54.686707130714382</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4.7505189151546565</v>
      </c>
      <c r="AS136" s="476">
        <f>CHOOSE($B$3,ENWL!AS136,NPgN!AS136,NPgY!AS136,WMID!AS136,EMID!AS136,SWALES!AS136,SWEST!AS136,LPN!AS136,SPN!AS136,EPN!AS136,SPD!AS136,SPMW!AS136,SSEH!AS136,SSES!AS136)</f>
        <v>8.381396778207499</v>
      </c>
      <c r="AT136" s="476">
        <f>CHOOSE($B$3,ENWL!AT136,NPgN!AT136,NPgY!AT136,WMID!AT136,EMID!AT136,SWALES!AT136,SWEST!AT136,LPN!AT136,SPN!AT136,EPN!AT136,SPD!AT136,SPMW!AT136,SSEH!AT136,SSES!AT136)</f>
        <v>12.336862423013248</v>
      </c>
      <c r="AU136" s="476">
        <f>CHOOSE($B$3,ENWL!AU136,NPgN!AU136,NPgY!AU136,WMID!AU136,EMID!AU136,SWALES!AU136,SWEST!AU136,LPN!AU136,SPN!AU136,EPN!AU136,SPD!AU136,SPMW!AU136,SSEH!AU136,SSES!AU136)</f>
        <v>11.577874525915727</v>
      </c>
      <c r="AV136" s="476">
        <f>CHOOSE($B$3,ENWL!AV136,NPgN!AV136,NPgY!AV136,WMID!AV136,EMID!AV136,SWALES!AV136,SWEST!AV136,LPN!AV136,SPN!AV136,EPN!AV136,SPD!AV136,SPMW!AV136,SSEH!AV136,SSES!AV136)</f>
        <v>11.25516331138849</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6.2</v>
      </c>
      <c r="AS137" s="476">
        <f>CHOOSE($B$3,ENWL!AS137,NPgN!AS137,NPgY!AS137,WMID!AS137,EMID!AS137,SWALES!AS137,SWEST!AS137,LPN!AS137,SPN!AS137,EPN!AS137,SPD!AS137,SPMW!AS137,SSEH!AS137,SSES!AS137)</f>
        <v>3.5757591578334003</v>
      </c>
      <c r="AT137" s="476">
        <f>CHOOSE($B$3,ENWL!AT137,NPgN!AT137,NPgY!AT137,WMID!AT137,EMID!AT137,SWALES!AT137,SWEST!AT137,LPN!AT137,SPN!AT137,EPN!AT137,SPD!AT137,SPMW!AT137,SSEH!AT137,SSES!AT137)</f>
        <v>2.0931619895870548</v>
      </c>
      <c r="AU137" s="476">
        <f>CHOOSE($B$3,ENWL!AU137,NPgN!AU137,NPgY!AU137,WMID!AU137,EMID!AU137,SWALES!AU137,SWEST!AU137,LPN!AU137,SPN!AU137,EPN!AU137,SPD!AU137,SPMW!AU137,SSEH!AU137,SSES!AU137)</f>
        <v>1.6215564051016722</v>
      </c>
      <c r="AV137" s="476">
        <f>CHOOSE($B$3,ENWL!AV137,NPgN!AV137,NPgY!AV137,WMID!AV137,EMID!AV137,SWALES!AV137,SWEST!AV137,LPN!AV137,SPN!AV137,EPN!AV137,SPD!AV137,SPMW!AV137,SSEH!AV137,SSES!AV137)</f>
        <v>1.1749211141363789</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3.8956539780320681E-2</v>
      </c>
      <c r="AT138" s="476">
        <f>CHOOSE($B$3,ENWL!AT138,NPgN!AT138,NPgY!AT138,WMID!AT138,EMID!AT138,SWALES!AT138,SWEST!AT138,LPN!AT138,SPN!AT138,EPN!AT138,SPD!AT138,SPMW!AT138,SSEH!AT138,SSES!AT138)</f>
        <v>3.5528364279652456</v>
      </c>
      <c r="AU138" s="476">
        <f>CHOOSE($B$3,ENWL!AU138,NPgN!AU138,NPgY!AU138,WMID!AU138,EMID!AU138,SWALES!AU138,SWEST!AU138,LPN!AU138,SPN!AU138,EPN!AU138,SPD!AU138,SPMW!AU138,SSEH!AU138,SSES!AU138)</f>
        <v>4.0203149053290943</v>
      </c>
      <c r="AV138" s="476">
        <f>CHOOSE($B$3,ENWL!AV138,NPgN!AV138,NPgY!AV138,WMID!AV138,EMID!AV138,SWALES!AV138,SWEST!AV138,LPN!AV138,SPN!AV138,EPN!AV138,SPD!AV138,SPMW!AV138,SSEH!AV138,SSES!AV138)</f>
        <v>12.318057878537399</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5.9228182034741224</v>
      </c>
      <c r="AS141" s="476">
        <f>CHOOSE($B$3,ENWL!AS141,NPgN!AS141,NPgY!AS141,WMID!AS141,EMID!AS141,SWALES!AS141,SWEST!AS141,LPN!AS141,SPN!AS141,EPN!AS141,SPD!AS141,SPMW!AS141,SSEH!AS141,SSES!AS141)</f>
        <v>4.6640051090930461</v>
      </c>
      <c r="AT141" s="476">
        <f>CHOOSE($B$3,ENWL!AT141,NPgN!AT141,NPgY!AT141,WMID!AT141,EMID!AT141,SWALES!AT141,SWEST!AT141,LPN!AT141,SPN!AT141,EPN!AT141,SPD!AT141,SPMW!AT141,SSEH!AT141,SSES!AT141)</f>
        <v>4.367430530677245</v>
      </c>
      <c r="AU141" s="476">
        <f>CHOOSE($B$3,ENWL!AU141,NPgN!AU141,NPgY!AU141,WMID!AU141,EMID!AU141,SWALES!AU141,SWEST!AU141,LPN!AU141,SPN!AU141,EPN!AU141,SPD!AU141,SPMW!AU141,SSEH!AU141,SSES!AU141)</f>
        <v>4.1697642227037326</v>
      </c>
      <c r="AV141" s="476">
        <f>CHOOSE($B$3,ENWL!AV141,NPgN!AV141,NPgY!AV141,WMID!AV141,EMID!AV141,SWALES!AV141,SWEST!AV141,LPN!AV141,SPN!AV141,EPN!AV141,SPD!AV141,SPMW!AV141,SSEH!AV141,SSES!AV141)</f>
        <v>3.923412171180833</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2.2735240796708363</v>
      </c>
      <c r="AS145" s="476">
        <f>CHOOSE($B$3,ENWL!AS145,NPgN!AS145,NPgY!AS145,WMID!AS145,EMID!AS145,SWALES!AS145,SWEST!AS145,LPN!AS145,SPN!AS145,EPN!AS145,SPD!AS145,SPMW!AS145,SSEH!AS145,SSES!AS145)</f>
        <v>2.4655116139045727</v>
      </c>
      <c r="AT145" s="476">
        <f>CHOOSE($B$3,ENWL!AT145,NPgN!AT145,NPgY!AT145,WMID!AT145,EMID!AT145,SWALES!AT145,SWEST!AT145,LPN!AT145,SPN!AT145,EPN!AT145,SPD!AT145,SPMW!AT145,SSEH!AT145,SSES!AT145)</f>
        <v>2.6856080674969047</v>
      </c>
      <c r="AU145" s="476">
        <f>CHOOSE($B$3,ENWL!AU145,NPgN!AU145,NPgY!AU145,WMID!AU145,EMID!AU145,SWALES!AU145,SWEST!AU145,LPN!AU145,SPN!AU145,EPN!AU145,SPD!AU145,SPMW!AU145,SSEH!AU145,SSES!AU145)</f>
        <v>2.9117244873401469</v>
      </c>
      <c r="AV145" s="476">
        <f>CHOOSE($B$3,ENWL!AV145,NPgN!AV145,NPgY!AV145,WMID!AV145,EMID!AV145,SWALES!AV145,SWEST!AV145,LPN!AV145,SPN!AV145,EPN!AV145,SPD!AV145,SPMW!AV145,SSEH!AV145,SSES!AV145)</f>
        <v>3.1277664722150349</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23.337716072506659</v>
      </c>
      <c r="AS146" s="476">
        <f>CHOOSE($B$3,ENWL!AS146,NPgN!AS146,NPgY!AS146,WMID!AS146,EMID!AS146,SWALES!AS146,SWEST!AS146,LPN!AS146,SPN!AS146,EPN!AS146,SPD!AS146,SPMW!AS146,SSEH!AS146,SSES!AS146)</f>
        <v>25.48016950535095</v>
      </c>
      <c r="AT146" s="476">
        <f>CHOOSE($B$3,ENWL!AT146,NPgN!AT146,NPgY!AT146,WMID!AT146,EMID!AT146,SWALES!AT146,SWEST!AT146,LPN!AT146,SPN!AT146,EPN!AT146,SPD!AT146,SPMW!AT146,SSEH!AT146,SSES!AT146)</f>
        <v>26.01164804846783</v>
      </c>
      <c r="AU146" s="476">
        <f>CHOOSE($B$3,ENWL!AU146,NPgN!AU146,NPgY!AU146,WMID!AU146,EMID!AU146,SWALES!AU146,SWEST!AU146,LPN!AU146,SPN!AU146,EPN!AU146,SPD!AU146,SPMW!AU146,SSEH!AU146,SSES!AU146)</f>
        <v>26.314388661676873</v>
      </c>
      <c r="AV146" s="476">
        <f>CHOOSE($B$3,ENWL!AV146,NPgN!AV146,NPgY!AV146,WMID!AV146,EMID!AV146,SWALES!AV146,SWEST!AV146,LPN!AV146,SPN!AV146,EPN!AV146,SPD!AV146,SPMW!AV146,SSEH!AV146,SSES!AV146)</f>
        <v>26.43090615352607</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14.683403384753909</v>
      </c>
      <c r="AS147" s="476">
        <f>CHOOSE($B$3,ENWL!AS147,NPgN!AS147,NPgY!AS147,WMID!AS147,EMID!AS147,SWALES!AS147,SWEST!AS147,LPN!AS147,SPN!AS147,EPN!AS147,SPD!AS147,SPMW!AS147,SSEH!AS147,SSES!AS147)</f>
        <v>14.789754689117771</v>
      </c>
      <c r="AT147" s="476">
        <f>CHOOSE($B$3,ENWL!AT147,NPgN!AT147,NPgY!AT147,WMID!AT147,EMID!AT147,SWALES!AT147,SWEST!AT147,LPN!AT147,SPN!AT147,EPN!AT147,SPD!AT147,SPMW!AT147,SSEH!AT147,SSES!AT147)</f>
        <v>14.118321367776787</v>
      </c>
      <c r="AU147" s="476">
        <f>CHOOSE($B$3,ENWL!AU147,NPgN!AU147,NPgY!AU147,WMID!AU147,EMID!AU147,SWALES!AU147,SWEST!AU147,LPN!AU147,SPN!AU147,EPN!AU147,SPD!AU147,SPMW!AU147,SSEH!AU147,SSES!AU147)</f>
        <v>13.857273899939777</v>
      </c>
      <c r="AV147" s="476">
        <f>CHOOSE($B$3,ENWL!AV147,NPgN!AV147,NPgY!AV147,WMID!AV147,EMID!AV147,SWALES!AV147,SWEST!AV147,LPN!AV147,SPN!AV147,EPN!AV147,SPD!AV147,SPMW!AV147,SSEH!AV147,SSES!AV147)</f>
        <v>13.755774221985543</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2.4259171580012855</v>
      </c>
      <c r="AS148" s="476">
        <f>CHOOSE($B$3,ENWL!AS148,NPgN!AS148,NPgY!AS148,WMID!AS148,EMID!AS148,SWALES!AS148,SWEST!AS148,LPN!AS148,SPN!AS148,EPN!AS148,SPD!AS148,SPMW!AS148,SSEH!AS148,SSES!AS148)</f>
        <v>2.5544029770445507</v>
      </c>
      <c r="AT148" s="476">
        <f>CHOOSE($B$3,ENWL!AT148,NPgN!AT148,NPgY!AT148,WMID!AT148,EMID!AT148,SWALES!AT148,SWEST!AT148,LPN!AT148,SPN!AT148,EPN!AT148,SPD!AT148,SPMW!AT148,SSEH!AT148,SSES!AT148)</f>
        <v>2.6434601746982054</v>
      </c>
      <c r="AU148" s="476">
        <f>CHOOSE($B$3,ENWL!AU148,NPgN!AU148,NPgY!AU148,WMID!AU148,EMID!AU148,SWALES!AU148,SWEST!AU148,LPN!AU148,SPN!AU148,EPN!AU148,SPD!AU148,SPMW!AU148,SSEH!AU148,SSES!AU148)</f>
        <v>2.7153684147863908</v>
      </c>
      <c r="AV148" s="476">
        <f>CHOOSE($B$3,ENWL!AV148,NPgN!AV148,NPgY!AV148,WMID!AV148,EMID!AV148,SWALES!AV148,SWEST!AV148,LPN!AV148,SPN!AV148,EPN!AV148,SPD!AV148,SPMW!AV148,SSEH!AV148,SSES!AV148)</f>
        <v>2.8513641907101754</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1.3252921411428575</v>
      </c>
      <c r="AS149" s="476">
        <f>CHOOSE($B$3,ENWL!AS149,NPgN!AS149,NPgY!AS149,WMID!AS149,EMID!AS149,SWALES!AS149,SWEST!AS149,LPN!AS149,SPN!AS149,EPN!AS149,SPD!AS149,SPMW!AS149,SSEH!AS149,SSES!AS149)</f>
        <v>2.5673795441591727</v>
      </c>
      <c r="AT149" s="476">
        <f>CHOOSE($B$3,ENWL!AT149,NPgN!AT149,NPgY!AT149,WMID!AT149,EMID!AT149,SWALES!AT149,SWEST!AT149,LPN!AT149,SPN!AT149,EPN!AT149,SPD!AT149,SPMW!AT149,SSEH!AT149,SSES!AT149)</f>
        <v>1.1840340559115401</v>
      </c>
      <c r="AU149" s="476">
        <f>CHOOSE($B$3,ENWL!AU149,NPgN!AU149,NPgY!AU149,WMID!AU149,EMID!AU149,SWALES!AU149,SWEST!AU149,LPN!AU149,SPN!AU149,EPN!AU149,SPD!AU149,SPMW!AU149,SSEH!AU149,SSES!AU149)</f>
        <v>1.1978376333088614</v>
      </c>
      <c r="AV149" s="476">
        <f>CHOOSE($B$3,ENWL!AV149,NPgN!AV149,NPgY!AV149,WMID!AV149,EMID!AV149,SWALES!AV149,SWEST!AV149,LPN!AV149,SPN!AV149,EPN!AV149,SPD!AV149,SPMW!AV149,SSEH!AV149,SSES!AV149)</f>
        <v>1.2031183458591979</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0</v>
      </c>
      <c r="AS150" s="476">
        <f>CHOOSE($B$3,ENWL!AS150,NPgN!AS150,NPgY!AS150,WMID!AS150,EMID!AS150,SWALES!AS150,SWEST!AS150,LPN!AS150,SPN!AS150,EPN!AS150,SPD!AS150,SPMW!AS150,SSEH!AS150,SSES!AS150)</f>
        <v>0</v>
      </c>
      <c r="AT150" s="476">
        <f>CHOOSE($B$3,ENWL!AT150,NPgN!AT150,NPgY!AT150,WMID!AT150,EMID!AT150,SWALES!AT150,SWEST!AT150,LPN!AT150,SPN!AT150,EPN!AT150,SPD!AT150,SPMW!AT150,SSEH!AT150,SSES!AT150)</f>
        <v>0</v>
      </c>
      <c r="AU150" s="476">
        <f>CHOOSE($B$3,ENWL!AU150,NPgN!AU150,NPgY!AU150,WMID!AU150,EMID!AU150,SWALES!AU150,SWEST!AU150,LPN!AU150,SPN!AU150,EPN!AU150,SPD!AU150,SPMW!AU150,SSEH!AU150,SSES!AU150)</f>
        <v>0</v>
      </c>
      <c r="AV150" s="476">
        <f>CHOOSE($B$3,ENWL!AV150,NPgN!AV150,NPgY!AV150,WMID!AV150,EMID!AV150,SWALES!AV150,SWEST!AV150,LPN!AV150,SPN!AV150,EPN!AV150,SPD!AV150,SPMW!AV150,SSEH!AV150,SSES!AV150)</f>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17.025248309772881</v>
      </c>
      <c r="AS151" s="476">
        <f>CHOOSE($B$3,ENWL!AS151,NPgN!AS151,NPgY!AS151,WMID!AS151,EMID!AS151,SWALES!AS151,SWEST!AS151,LPN!AS151,SPN!AS151,EPN!AS151,SPD!AS151,SPMW!AS151,SSEH!AS151,SSES!AS151)</f>
        <v>0.53033777885688127</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0</v>
      </c>
      <c r="AS152" s="476">
        <f>CHOOSE($B$3,ENWL!AS152,NPgN!AS152,NPgY!AS152,WMID!AS152,EMID!AS152,SWALES!AS152,SWEST!AS152,LPN!AS152,SPN!AS152,EPN!AS152,SPD!AS152,SPMW!AS152,SSEH!AS152,SSES!AS152)</f>
        <v>0</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-7.2817562255393451</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0.78264189999999978</v>
      </c>
      <c r="AS162" s="476">
        <f>CHOOSE($B$3,ENWL!AS162,NPgN!AS162,NPgY!AS162,WMID!AS162,EMID!AS162,SWALES!AS162,SWEST!AS162,LPN!AS162,SPN!AS162,EPN!AS162,SPD!AS162,SPMW!AS162,SSEH!AS162,SSES!AS162)</f>
        <v>0.90005189999999979</v>
      </c>
      <c r="AT162" s="476">
        <f>CHOOSE($B$3,ENWL!AT162,NPgN!AT162,NPgY!AT162,WMID!AT162,EMID!AT162,SWALES!AT162,SWEST!AT162,LPN!AT162,SPN!AT162,EPN!AT162,SPD!AT162,SPMW!AT162,SSEH!AT162,SSES!AT162)</f>
        <v>1.0799288999999999</v>
      </c>
      <c r="AU162" s="476">
        <f>CHOOSE($B$3,ENWL!AU162,NPgN!AU162,NPgY!AU162,WMID!AU162,EMID!AU162,SWALES!AU162,SWEST!AU162,LPN!AU162,SPN!AU162,EPN!AU162,SPD!AU162,SPMW!AU162,SSEH!AU162,SSES!AU162)</f>
        <v>1.1690358999999999</v>
      </c>
      <c r="AV162" s="476">
        <f>CHOOSE($B$3,ENWL!AV162,NPgN!AV162,NPgY!AV162,WMID!AV162,EMID!AV162,SWALES!AV162,SWEST!AV162,LPN!AV162,SPN!AV162,EPN!AV162,SPD!AV162,SPMW!AV162,SSEH!AV162,SSES!AV162)</f>
        <v>1.2162178999999997</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0.83944000000000074</v>
      </c>
      <c r="AS163" s="476">
        <f>CHOOSE($B$3,ENWL!AS163,NPgN!AS163,NPgY!AS163,WMID!AS163,EMID!AS163,SWALES!AS163,SWEST!AS163,LPN!AS163,SPN!AS163,EPN!AS163,SPD!AS163,SPMW!AS163,SSEH!AS163,SSES!AS163)</f>
        <v>1.7838099999999995</v>
      </c>
      <c r="AT163" s="476">
        <f>CHOOSE($B$3,ENWL!AT163,NPgN!AT163,NPgY!AT163,WMID!AT163,EMID!AT163,SWALES!AT163,SWEST!AT163,LPN!AT163,SPN!AT163,EPN!AT163,SPD!AT163,SPMW!AT163,SSEH!AT163,SSES!AT163)</f>
        <v>2.3084600000000068</v>
      </c>
      <c r="AU163" s="476">
        <f>CHOOSE($B$3,ENWL!AU163,NPgN!AU163,NPgY!AU163,WMID!AU163,EMID!AU163,SWALES!AU163,SWEST!AU163,LPN!AU163,SPN!AU163,EPN!AU163,SPD!AU163,SPMW!AU163,SSEH!AU163,SSES!AU163)</f>
        <v>2.6232500000000001</v>
      </c>
      <c r="AV163" s="476">
        <f>CHOOSE($B$3,ENWL!AV163,NPgN!AV163,NPgY!AV163,WMID!AV163,EMID!AV163,SWALES!AV163,SWEST!AV163,LPN!AV163,SPN!AV163,EPN!AV163,SPD!AV163,SPMW!AV163,SSEH!AV163,SSES!AV163)</f>
        <v>2.7281800000000165</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0.2409847004333299</v>
      </c>
      <c r="AS164" s="476">
        <f>CHOOSE($B$3,ENWL!AS164,NPgN!AS164,NPgY!AS164,WMID!AS164,EMID!AS164,SWALES!AS164,SWEST!AS164,LPN!AS164,SPN!AS164,EPN!AS164,SPD!AS164,SPMW!AS164,SSEH!AS164,SSES!AS164)</f>
        <v>1.9787226510486624</v>
      </c>
      <c r="AT164" s="476">
        <f>CHOOSE($B$3,ENWL!AT164,NPgN!AT164,NPgY!AT164,WMID!AT164,EMID!AT164,SWALES!AT164,SWEST!AT164,LPN!AT164,SPN!AT164,EPN!AT164,SPD!AT164,SPMW!AT164,SSEH!AT164,SSES!AT164)</f>
        <v>2.2207209823044827</v>
      </c>
      <c r="AU164" s="476">
        <f>CHOOSE($B$3,ENWL!AU164,NPgN!AU164,NPgY!AU164,WMID!AU164,EMID!AU164,SWALES!AU164,SWEST!AU164,LPN!AU164,SPN!AU164,EPN!AU164,SPD!AU164,SPMW!AU164,SSEH!AU164,SSES!AU164)</f>
        <v>2.4987366846841641</v>
      </c>
      <c r="AV164" s="476">
        <f>CHOOSE($B$3,ENWL!AV164,NPgN!AV164,NPgY!AV164,WMID!AV164,EMID!AV164,SWALES!AV164,SWEST!AV164,LPN!AV164,SPN!AV164,EPN!AV164,SPD!AV164,SPMW!AV164,SSEH!AV164,SSES!AV164)</f>
        <v>2.9051694526791048</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1.8148399999999996</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2.9705560000000002</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1.1801999999999992</v>
      </c>
      <c r="AT167" s="476">
        <f>CHOOSE($B$3,ENWL!AT167,NPgN!AT167,NPgY!AT167,WMID!AT167,EMID!AT167,SWALES!AT167,SWEST!AT167,LPN!AT167,SPN!AT167,EPN!AT167,SPD!AT167,SPMW!AT167,SSEH!AT167,SSES!AT167)</f>
        <v>1.5672499999999996</v>
      </c>
      <c r="AU167" s="476">
        <f>CHOOSE($B$3,ENWL!AU167,NPgN!AU167,NPgY!AU167,WMID!AU167,EMID!AU167,SWALES!AU167,SWEST!AU167,LPN!AU167,SPN!AU167,EPN!AU167,SPD!AU167,SPMW!AU167,SSEH!AU167,SSES!AU167)</f>
        <v>1.7703000000000007</v>
      </c>
      <c r="AV167" s="476">
        <f>CHOOSE($B$3,ENWL!AV167,NPgN!AV167,NPgY!AV167,WMID!AV167,EMID!AV167,SWALES!AV167,SWEST!AV167,LPN!AV167,SPN!AV167,EPN!AV167,SPD!AV167,SPMW!AV167,SSEH!AV167,SSES!AV167)</f>
        <v>2.2525499999999989</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0.49</v>
      </c>
      <c r="AS168" s="476">
        <f>CHOOSE($B$3,ENWL!AS168,NPgN!AS168,NPgY!AS168,WMID!AS168,EMID!AS168,SWALES!AS168,SWEST!AS168,LPN!AS168,SPN!AS168,EPN!AS168,SPD!AS168,SPMW!AS168,SSEH!AS168,SSES!AS168)</f>
        <v>0.58799999999999963</v>
      </c>
      <c r="AT168" s="476">
        <f>CHOOSE($B$3,ENWL!AT168,NPgN!AT168,NPgY!AT168,WMID!AT168,EMID!AT168,SWALES!AT168,SWEST!AT168,LPN!AT168,SPN!AT168,EPN!AT168,SPD!AT168,SPMW!AT168,SSEH!AT168,SSES!AT168)</f>
        <v>0.68599999999999928</v>
      </c>
      <c r="AU168" s="476">
        <f>CHOOSE($B$3,ENWL!AU168,NPgN!AU168,NPgY!AU168,WMID!AU168,EMID!AU168,SWALES!AU168,SWEST!AU168,LPN!AU168,SPN!AU168,EPN!AU168,SPD!AU168,SPMW!AU168,SSEH!AU168,SSES!AU168)</f>
        <v>0.78399999999999981</v>
      </c>
      <c r="AV168" s="476">
        <f>CHOOSE($B$3,ENWL!AV168,NPgN!AV168,NPgY!AV168,WMID!AV168,EMID!AV168,SWALES!AV168,SWEST!AV168,LPN!AV168,SPN!AV168,EPN!AV168,SPD!AV168,SPMW!AV168,SSEH!AV168,SSES!AV168)</f>
        <v>0.78399999999999981</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1.6800000000000002</v>
      </c>
      <c r="AS177" s="476">
        <f>CHOOSE($B$3,ENWL!AS177,NPgN!AS177,NPgY!AS177,WMID!AS177,EMID!AS177,SWALES!AS177,SWEST!AS177,LPN!AS177,SPN!AS177,EPN!AS177,SPD!AS177,SPMW!AS177,SSEH!AS177,SSES!AS177)</f>
        <v>1.6800000000000002</v>
      </c>
      <c r="AT177" s="476">
        <f>CHOOSE($B$3,ENWL!AT177,NPgN!AT177,NPgY!AT177,WMID!AT177,EMID!AT177,SWALES!AT177,SWEST!AT177,LPN!AT177,SPN!AT177,EPN!AT177,SPD!AT177,SPMW!AT177,SSEH!AT177,SSES!AT177)</f>
        <v>1.6800000000000002</v>
      </c>
      <c r="AU177" s="476">
        <f>CHOOSE($B$3,ENWL!AU177,NPgN!AU177,NPgY!AU177,WMID!AU177,EMID!AU177,SWALES!AU177,SWEST!AU177,LPN!AU177,SPN!AU177,EPN!AU177,SPD!AU177,SPMW!AU177,SSEH!AU177,SSES!AU177)</f>
        <v>1.6800000000000002</v>
      </c>
      <c r="AV177" s="476">
        <f>CHOOSE($B$3,ENWL!AV177,NPgN!AV177,NPgY!AV177,WMID!AV177,EMID!AV177,SWALES!AV177,SWEST!AV177,LPN!AV177,SPN!AV177,EPN!AV177,SPD!AV177,SPMW!AV177,SSEH!AV177,SSES!AV177)</f>
        <v>1.6799999999999997</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0</v>
      </c>
      <c r="AS191" s="476">
        <f>CHOOSE($B$3,ENWL!AS191,NPgN!AS191,NPgY!AS191,WMID!AS191,EMID!AS191,SWALES!AS191,SWEST!AS191,LPN!AS191,SPN!AS191,EPN!AS191,SPD!AS191,SPMW!AS191,SSEH!AS191,SSES!AS191)</f>
        <v>0</v>
      </c>
      <c r="AT191" s="476">
        <f>CHOOSE($B$3,ENWL!AT191,NPgN!AT191,NPgY!AT191,WMID!AT191,EMID!AT191,SWALES!AT191,SWEST!AT191,LPN!AT191,SPN!AT191,EPN!AT191,SPD!AT191,SPMW!AT191,SSEH!AT191,SSES!AT191)</f>
        <v>0</v>
      </c>
      <c r="AU191" s="476">
        <f>CHOOSE($B$3,ENWL!AU191,NPgN!AU191,NPgY!AU191,WMID!AU191,EMID!AU191,SWALES!AU191,SWEST!AU191,LPN!AU191,SPN!AU191,EPN!AU191,SPD!AU191,SPMW!AU191,SSEH!AU191,SSES!AU191)</f>
        <v>0</v>
      </c>
      <c r="AV191" s="476">
        <f>CHOOSE($B$3,ENWL!AV191,NPgN!AV191,NPgY!AV191,WMID!AV191,EMID!AV191,SWALES!AV191,SWEST!AV191,LPN!AV191,SPN!AV191,EPN!AV191,SPD!AV191,SPMW!AV191,SSEH!AV191,SSES!AV191)</f>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0</v>
      </c>
      <c r="AS192" s="476">
        <f>CHOOSE($B$3,ENWL!AS192,NPgN!AS192,NPgY!AS192,WMID!AS192,EMID!AS192,SWALES!AS192,SWEST!AS192,LPN!AS192,SPN!AS192,EPN!AS192,SPD!AS192,SPMW!AS192,SSEH!AS192,SSES!AS192)</f>
        <v>0</v>
      </c>
      <c r="AT192" s="476">
        <f>CHOOSE($B$3,ENWL!AT192,NPgN!AT192,NPgY!AT192,WMID!AT192,EMID!AT192,SWALES!AT192,SWEST!AT192,LPN!AT192,SPN!AT192,EPN!AT192,SPD!AT192,SPMW!AT192,SSEH!AT192,SSES!AT192)</f>
        <v>0</v>
      </c>
      <c r="AU192" s="476">
        <f>CHOOSE($B$3,ENWL!AU192,NPgN!AU192,NPgY!AU192,WMID!AU192,EMID!AU192,SWALES!AU192,SWEST!AU192,LPN!AU192,SPN!AU192,EPN!AU192,SPD!AU192,SPMW!AU192,SSEH!AU192,SSES!AU192)</f>
        <v>0</v>
      </c>
      <c r="AV192" s="476">
        <f>CHOOSE($B$3,ENWL!AV192,NPgN!AV192,NPgY!AV192,WMID!AV192,EMID!AV192,SWALES!AV192,SWEST!AV192,LPN!AV192,SPN!AV192,EPN!AV192,SPD!AV192,SPMW!AV192,SSEH!AV192,SSES!AV192)</f>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11.6596688150736</v>
      </c>
      <c r="AS193" s="476">
        <f>CHOOSE($B$3,ENWL!AS193,NPgN!AS193,NPgY!AS193,WMID!AS193,EMID!AS193,SWALES!AS193,SWEST!AS193,LPN!AS193,SPN!AS193,EPN!AS193,SPD!AS193,SPMW!AS193,SSEH!AS193,SSES!AS193)</f>
        <v>14.2134707728957</v>
      </c>
      <c r="AT193" s="476">
        <f>CHOOSE($B$3,ENWL!AT193,NPgN!AT193,NPgY!AT193,WMID!AT193,EMID!AT193,SWALES!AT193,SWEST!AT193,LPN!AT193,SPN!AT193,EPN!AT193,SPD!AT193,SPMW!AT193,SSEH!AT193,SSES!AT193)</f>
        <v>15.3849395608874</v>
      </c>
      <c r="AU193" s="476">
        <f>CHOOSE($B$3,ENWL!AU193,NPgN!AU193,NPgY!AU193,WMID!AU193,EMID!AU193,SWALES!AU193,SWEST!AU193,LPN!AU193,SPN!AU193,EPN!AU193,SPD!AU193,SPMW!AU193,SSEH!AU193,SSES!AU193)</f>
        <v>15.3849395608874</v>
      </c>
      <c r="AV193" s="476">
        <f>CHOOSE($B$3,ENWL!AV193,NPgN!AV193,NPgY!AV193,WMID!AV193,EMID!AV193,SWALES!AV193,SWEST!AV193,LPN!AV193,SPN!AV193,EPN!AV193,SPD!AV193,SPMW!AV193,SSEH!AV193,SSES!AV193)</f>
        <v>14.2134707728957</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-11.5442265495778</v>
      </c>
      <c r="AS194" s="476">
        <f>CHOOSE($B$3,ENWL!AS194,NPgN!AS194,NPgY!AS194,WMID!AS194,EMID!AS194,SWALES!AS194,SWEST!AS194,LPN!AS194,SPN!AS194,EPN!AS194,SPD!AS194,SPMW!AS194,SSEH!AS194,SSES!AS194)</f>
        <v>-14.0727433395007</v>
      </c>
      <c r="AT194" s="476">
        <f>CHOOSE($B$3,ENWL!AT194,NPgN!AT194,NPgY!AT194,WMID!AT194,EMID!AT194,SWALES!AT194,SWEST!AT194,LPN!AT194,SPN!AT194,EPN!AT194,SPD!AT194,SPMW!AT194,SSEH!AT194,SSES!AT194)</f>
        <v>-15.232613426621199</v>
      </c>
      <c r="AU194" s="476">
        <f>CHOOSE($B$3,ENWL!AU194,NPgN!AU194,NPgY!AU194,WMID!AU194,EMID!AU194,SWALES!AU194,SWEST!AU194,LPN!AU194,SPN!AU194,EPN!AU194,SPD!AU194,SPMW!AU194,SSEH!AU194,SSES!AU194)</f>
        <v>-15.232613426621199</v>
      </c>
      <c r="AV194" s="476">
        <f>CHOOSE($B$3,ENWL!AV194,NPgN!AV194,NPgY!AV194,WMID!AV194,EMID!AV194,SWALES!AV194,SWEST!AV194,LPN!AV194,SPN!AV194,EPN!AV194,SPD!AV194,SPMW!AV194,SSEH!AV194,SSES!AV194)</f>
        <v>-14.0727433395007</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1.84037811629849</v>
      </c>
      <c r="AS195" s="476">
        <f>CHOOSE($B$3,ENWL!AS195,NPgN!AS195,NPgY!AS195,WMID!AS195,EMID!AS195,SWALES!AS195,SWEST!AS195,LPN!AS195,SPN!AS195,EPN!AS195,SPD!AS195,SPMW!AS195,SSEH!AS195,SSES!AS195)</f>
        <v>1.84037811629849</v>
      </c>
      <c r="AT195" s="476">
        <f>CHOOSE($B$3,ENWL!AT195,NPgN!AT195,NPgY!AT195,WMID!AT195,EMID!AT195,SWALES!AT195,SWEST!AT195,LPN!AT195,SPN!AT195,EPN!AT195,SPD!AT195,SPMW!AT195,SSEH!AT195,SSES!AT195)</f>
        <v>1.84037811629849</v>
      </c>
      <c r="AU195" s="476">
        <f>CHOOSE($B$3,ENWL!AU195,NPgN!AU195,NPgY!AU195,WMID!AU195,EMID!AU195,SWALES!AU195,SWEST!AU195,LPN!AU195,SPN!AU195,EPN!AU195,SPD!AU195,SPMW!AU195,SSEH!AU195,SSES!AU195)</f>
        <v>1.84037811629849</v>
      </c>
      <c r="AV195" s="476">
        <f>CHOOSE($B$3,ENWL!AV195,NPgN!AV195,NPgY!AV195,WMID!AV195,EMID!AV195,SWALES!AV195,SWEST!AV195,LPN!AV195,SPN!AV195,EPN!AV195,SPD!AV195,SPMW!AV195,SSEH!AV195,SSES!AV195)</f>
        <v>1.84037811629849</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-1.8221565507905899</v>
      </c>
      <c r="AS196" s="476">
        <f>CHOOSE($B$3,ENWL!AS196,NPgN!AS196,NPgY!AS196,WMID!AS196,EMID!AS196,SWALES!AS196,SWEST!AS196,LPN!AS196,SPN!AS196,EPN!AS196,SPD!AS196,SPMW!AS196,SSEH!AS196,SSES!AS196)</f>
        <v>-1.8221565507905899</v>
      </c>
      <c r="AT196" s="476">
        <f>CHOOSE($B$3,ENWL!AT196,NPgN!AT196,NPgY!AT196,WMID!AT196,EMID!AT196,SWALES!AT196,SWEST!AT196,LPN!AT196,SPN!AT196,EPN!AT196,SPD!AT196,SPMW!AT196,SSEH!AT196,SSES!AT196)</f>
        <v>-1.8221565507905899</v>
      </c>
      <c r="AU196" s="476">
        <f>CHOOSE($B$3,ENWL!AU196,NPgN!AU196,NPgY!AU196,WMID!AU196,EMID!AU196,SWALES!AU196,SWEST!AU196,LPN!AU196,SPN!AU196,EPN!AU196,SPD!AU196,SPMW!AU196,SSEH!AU196,SSES!AU196)</f>
        <v>-1.8221565507905899</v>
      </c>
      <c r="AV196" s="476">
        <f>CHOOSE($B$3,ENWL!AV196,NPgN!AV196,NPgY!AV196,WMID!AV196,EMID!AV196,SWALES!AV196,SWEST!AV196,LPN!AV196,SPN!AV196,EPN!AV196,SPD!AV196,SPMW!AV196,SSEH!AV196,SSES!AV196)</f>
        <v>-1.8221565507905899</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0</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f>CHOOSE($B$3,ENWL!K250,NPgN!K250,NPgY!K250,WMID!K250,EMID!K250,SWALES!K250,SWEST!K250,LPN!K250,SPN!K250,EPN!K250,SPD!K250,SPMW!K250,SSEH!K250,SSES!K250)</f>
        <v>28.526000944534815</v>
      </c>
      <c r="L250" s="413">
        <f>CHOOSE($B$3,ENWL!L250,NPgN!L250,NPgY!L250,WMID!L250,EMID!L250,SWALES!L250,SWEST!L250,LPN!L250,SPN!L250,EPN!L250,SPD!L250,SPMW!L250,SSEH!L250,SSES!L250)</f>
        <v>69.833132182400178</v>
      </c>
      <c r="M250" s="413">
        <f>CHOOSE($B$3,ENWL!M250,NPgN!M250,NPgY!M250,WMID!M250,EMID!M250,SWALES!M250,SWEST!M250,LPN!M250,SPN!M250,EPN!M250,SPD!M250,SPMW!M250,SSEH!M250,SSES!M250)</f>
        <v>144.48234244634517</v>
      </c>
      <c r="N250" s="413">
        <f>CHOOSE($B$3,ENWL!N250,NPgN!N250,NPgY!N250,WMID!N250,EMID!N250,SWALES!N250,SWEST!N250,LPN!N250,SPN!N250,EPN!N250,SPD!N250,SPMW!N250,SSEH!N250,SSES!N250)</f>
        <v>130.21934197407776</v>
      </c>
      <c r="O250" s="413">
        <f>CHOOSE($B$3,ENWL!O250,NPgN!O250,NPgY!O250,WMID!O250,EMID!O250,SWALES!O250,SWEST!O250,LPN!O250,SPN!O250,EPN!O250,SPD!O250,SPMW!O250,SSEH!O250,SSES!O250)</f>
        <v>129.10793933987514</v>
      </c>
      <c r="P250" s="413">
        <f>CHOOSE($B$3,ENWL!P250,NPgN!P250,NPgY!P250,WMID!P250,EMID!P250,SWALES!P250,SWEST!P250,LPN!P250,SPN!P250,EPN!P250,SPD!P250,SPMW!P250,SSEH!P250,SSES!P250)</f>
        <v>132.25691347011596</v>
      </c>
      <c r="Q250" s="413">
        <f>CHOOSE($B$3,ENWL!Q250,NPgN!Q250,NPgY!Q250,WMID!Q250,EMID!Q250,SWALES!Q250,SWEST!Q250,LPN!Q250,SPN!Q250,EPN!Q250,SPD!Q250,SPMW!Q250,SSEH!Q250,SSES!Q250)</f>
        <v>138.18439418586345</v>
      </c>
      <c r="R250" s="413">
        <f>CHOOSE($B$3,ENWL!R250,NPgN!R250,NPgY!R250,WMID!R250,EMID!R250,SWALES!R250,SWEST!R250,LPN!R250,SPN!R250,EPN!R250,SPD!R250,SPMW!R250,SSEH!R250,SSES!R250)</f>
        <v>168.37749908170227</v>
      </c>
      <c r="S250" s="413">
        <f>CHOOSE($B$3,ENWL!S250,NPgN!S250,NPgY!S250,WMID!S250,EMID!S250,SWALES!S250,SWEST!S250,LPN!S250,SPN!S250,EPN!S250,SPD!S250,SPMW!S250,SSEH!S250,SSES!S250)</f>
        <v>180.29446944987433</v>
      </c>
      <c r="T250" s="413">
        <f>CHOOSE($B$3,ENWL!T250,NPgN!T250,NPgY!T250,WMID!T250,EMID!T250,SWALES!T250,SWEST!T250,LPN!T250,SPN!T250,EPN!T250,SPD!T250,SPMW!T250,SSEH!T250,SSES!T250)</f>
        <v>165.71182853848742</v>
      </c>
      <c r="U250" s="413">
        <f>CHOOSE($B$3,ENWL!U250,NPgN!U250,NPgY!U250,WMID!U250,EMID!U250,SWALES!U250,SWEST!U250,LPN!U250,SPN!U250,EPN!U250,SPD!U250,SPMW!U250,SSEH!U250,SSES!U250)</f>
        <v>143.89240198462886</v>
      </c>
      <c r="V250" s="413">
        <f>CHOOSE($B$3,ENWL!V250,NPgN!V250,NPgY!V250,WMID!V250,EMID!V250,SWALES!V250,SWEST!V250,LPN!V250,SPN!V250,EPN!V250,SPD!V250,SPMW!V250,SSEH!V250,SSES!V250)</f>
        <v>131.62425113826984</v>
      </c>
      <c r="W250" s="413">
        <f>CHOOSE($B$3,ENWL!W250,NPgN!W250,NPgY!W250,WMID!W250,EMID!W250,SWALES!W250,SWEST!W250,LPN!W250,SPN!W250,EPN!W250,SPD!W250,SPMW!W250,SSEH!W250,SSES!W250)</f>
        <v>152.1201964892596</v>
      </c>
      <c r="X250" s="413">
        <f>CHOOSE($B$3,ENWL!X250,NPgN!X250,NPgY!X250,WMID!X250,EMID!X250,SWALES!X250,SWEST!X250,LPN!X250,SPN!X250,EPN!X250,SPD!X250,SPMW!X250,SSEH!X250,SSES!X250)</f>
        <v>179.58715805818156</v>
      </c>
      <c r="Y250" s="413">
        <f>CHOOSE($B$3,ENWL!Y250,NPgN!Y250,NPgY!Y250,WMID!Y250,EMID!Y250,SWALES!Y250,SWEST!Y250,LPN!Y250,SPN!Y250,EPN!Y250,SPD!Y250,SPMW!Y250,SSEH!Y250,SSES!Y250)</f>
        <v>173.32006211906727</v>
      </c>
      <c r="Z250" s="413">
        <f>CHOOSE($B$3,ENWL!Z250,NPgN!Z250,NPgY!Z250,WMID!Z250,EMID!Z250,SWALES!Z250,SWEST!Z250,LPN!Z250,SPN!Z250,EPN!Z250,SPD!Z250,SPMW!Z250,SSEH!Z250,SSES!Z250)</f>
        <v>203.36386369721032</v>
      </c>
      <c r="AA250" s="413">
        <f>CHOOSE($B$3,ENWL!AA250,NPgN!AA250,NPgY!AA250,WMID!AA250,EMID!AA250,SWALES!AA250,SWEST!AA250,LPN!AA250,SPN!AA250,EPN!AA250,SPD!AA250,SPMW!AA250,SSEH!AA250,SSES!AA250)</f>
        <v>128.05389332658407</v>
      </c>
      <c r="AB250" s="413">
        <f>CHOOSE($B$3,ENWL!AB250,NPgN!AB250,NPgY!AB250,WMID!AB250,EMID!AB250,SWALES!AB250,SWEST!AB250,LPN!AB250,SPN!AB250,EPN!AB250,SPD!AB250,SPMW!AB250,SSEH!AB250,SSES!AB250)</f>
        <v>157.80709395436162</v>
      </c>
      <c r="AC250" s="413">
        <f>CHOOSE($B$3,ENWL!AC250,NPgN!AC250,NPgY!AC250,WMID!AC250,EMID!AC250,SWALES!AC250,SWEST!AC250,LPN!AC250,SPN!AC250,EPN!AC250,SPD!AC250,SPMW!AC250,SSEH!AC250,SSES!AC250)</f>
        <v>173.39101420035695</v>
      </c>
      <c r="AD250" s="413">
        <f>CHOOSE($B$3,ENWL!AD250,NPgN!AD250,NPgY!AD250,WMID!AD250,EMID!AD250,SWALES!AD250,SWEST!AD250,LPN!AD250,SPN!AD250,EPN!AD250,SPD!AD250,SPMW!AD250,SSEH!AD250,SSES!AD250)</f>
        <v>158.41065966088121</v>
      </c>
      <c r="AE250" s="413">
        <f>CHOOSE($B$3,ENWL!AE250,NPgN!AE250,NPgY!AE250,WMID!AE250,EMID!AE250,SWALES!AE250,SWEST!AE250,LPN!AE250,SPN!AE250,EPN!AE250,SPD!AE250,SPMW!AE250,SSEH!AE250,SSES!AE250)</f>
        <v>153.73959941493774</v>
      </c>
      <c r="AF250" s="413">
        <f>CHOOSE($B$3,ENWL!AF250,NPgN!AF250,NPgY!AF250,WMID!AF250,EMID!AF250,SWALES!AF250,SWEST!AF250,LPN!AF250,SPN!AF250,EPN!AF250,SPD!AF250,SPMW!AF250,SSEH!AF250,SSES!AF250)</f>
        <v>189.52738762176125</v>
      </c>
      <c r="AG250" s="413">
        <f>CHOOSE($B$3,ENWL!AG250,NPgN!AG250,NPgY!AG250,WMID!AG250,EMID!AG250,SWALES!AG250,SWEST!AG250,LPN!AG250,SPN!AG250,EPN!AG250,SPD!AG250,SPMW!AG250,SSEH!AG250,SSES!AG250)</f>
        <v>198.81414272608728</v>
      </c>
      <c r="AH250" s="413">
        <f>CHOOSE($B$3,ENWL!AH250,NPgN!AH250,NPgY!AH250,WMID!AH250,EMID!AH250,SWALES!AH250,SWEST!AH250,LPN!AH250,SPN!AH250,EPN!AH250,SPD!AH250,SPMW!AH250,SSEH!AH250,SSES!AH250)</f>
        <v>203.91110785164159</v>
      </c>
      <c r="AI250" s="413">
        <f>CHOOSE($B$3,ENWL!AI250,NPgN!AI250,NPgY!AI250,WMID!AI250,EMID!AI250,SWALES!AI250,SWEST!AI250,LPN!AI250,SPN!AI250,EPN!AI250,SPD!AI250,SPMW!AI250,SSEH!AI250,SSES!AI250)</f>
        <v>226.64315013833672</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-0.40331059103414102</v>
      </c>
      <c r="AI252" s="413">
        <f>CHOOSE($B$3,ENWL!AI252,NPgN!AI252,NPgY!AI252,WMID!AI252,EMID!AI252,SWALES!AI252,SWEST!AI252,LPN!AI252,SPN!AI252,EPN!AI252,SPD!AI252,SPMW!AI252,SSEH!AI252,SSES!AI252)</f>
        <v>-5.3845333762148337</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540.74432200000001</v>
      </c>
      <c r="AS265" s="476">
        <f>CHOOSE($B$3,ENWL!AS265,NPgN!AS265,NPgY!AS265,WMID!AS265,EMID!AS265,SWALES!AS265,SWEST!AS265,LPN!AS265,SPN!AS265,EPN!AS265,SPD!AS265,SPMW!AS265,SSEH!AS265,SSES!AS265)</f>
        <v>591.86584300000004</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668.77982567635831</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401.44586337161212</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5">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0</v>
      </c>
      <c r="AS278" s="476">
        <f>CHOOSE($B$3,ENWL!AS278,NPgN!AS278,NPgY!AS278,WMID!AS278,EMID!AS278,SWALES!AS278,SWEST!AS278,LPN!AS278,SPN!AS278,EPN!AS278,SPD!AS278,SPMW!AS278,SSEH!AS278,SSES!AS278)</f>
        <v>0</v>
      </c>
      <c r="AT278" s="476">
        <f>CHOOSE($B$3,ENWL!AT278,NPgN!AT278,NPgY!AT278,WMID!AT278,EMID!AT278,SWALES!AT278,SWEST!AT278,LPN!AT278,SPN!AT278,EPN!AT278,SPD!AT278,SPMW!AT278,SSEH!AT278,SSES!AT278)</f>
        <v>0</v>
      </c>
      <c r="AU278" s="476">
        <f>CHOOSE($B$3,ENWL!AU278,NPgN!AU278,NPgY!AU278,WMID!AU278,EMID!AU278,SWALES!AU278,SWEST!AU278,LPN!AU278,SPN!AU278,EPN!AU278,SPD!AU278,SPMW!AU278,SSEH!AU278,SSES!AU278)</f>
        <v>0</v>
      </c>
      <c r="AV278" s="476">
        <f>CHOOSE($B$3,ENWL!AV278,NPgN!AV278,NPgY!AV278,WMID!AV278,EMID!AV278,SWALES!AV278,SWEST!AV278,LPN!AV278,SPN!AV278,EPN!AV278,SPD!AV278,SPMW!AV278,SSEH!AV278,SSES!AV278)</f>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0</v>
      </c>
      <c r="AT283" s="476">
        <f>CHOOSE($B$3,ENWL!AT283,NPgN!AT283,NPgY!AT283,WMID!AT283,EMID!AT283,SWALES!AT283,SWEST!AT283,LPN!AT283,SPN!AT283,EPN!AT283,SPD!AT283,SPMW!AT283,SSEH!AT283,SSES!AT283)</f>
        <v>0</v>
      </c>
      <c r="AU283" s="476">
        <f>CHOOSE($B$3,ENWL!AU283,NPgN!AU283,NPgY!AU283,WMID!AU283,EMID!AU283,SWALES!AU283,SWEST!AU283,LPN!AU283,SPN!AU283,EPN!AU283,SPD!AU283,SPMW!AU283,SSEH!AU283,SSES!AU283)</f>
        <v>0</v>
      </c>
      <c r="AV283" s="476">
        <f>CHOOSE($B$3,ENWL!AV283,NPgN!AV283,NPgY!AV283,WMID!AV283,EMID!AV283,SWALES!AV283,SWEST!AV283,LPN!AV283,SPN!AV283,EPN!AV283,SPD!AV283,SPMW!AV283,SSEH!AV283,SSES!AV283)</f>
        <v>0</v>
      </c>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0</v>
      </c>
      <c r="AT284" s="476">
        <f>CHOOSE($B$3,ENWL!AT284,NPgN!AT284,NPgY!AT284,WMID!AT284,EMID!AT284,SWALES!AT284,SWEST!AT284,LPN!AT284,SPN!AT284,EPN!AT284,SPD!AT284,SPMW!AT284,SSEH!AT284,SSES!AT284)</f>
        <v>0</v>
      </c>
      <c r="AU284" s="476">
        <f>CHOOSE($B$3,ENWL!AU284,NPgN!AU284,NPgY!AU284,WMID!AU284,EMID!AU284,SWALES!AU284,SWEST!AU284,LPN!AU284,SPN!AU284,EPN!AU284,SPD!AU284,SPMW!AU284,SSEH!AU284,SSES!AU284)</f>
        <v>0</v>
      </c>
      <c r="AV284" s="476">
        <f>CHOOSE($B$3,ENWL!AV284,NPgN!AV284,NPgY!AV284,WMID!AV284,EMID!AV284,SWALES!AV284,SWEST!AV284,LPN!AV284,SPN!AV284,EPN!AV284,SPD!AV284,SPMW!AV284,SSEH!AV284,SSES!AV284)</f>
        <v>0</v>
      </c>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f>CHOOSE($B$3,ENWL!AR290,NPgN!AR290,NPgY!AR290,WMID!AR290,EMID!AR290,SWALES!AR290,SWEST!AR290,LPN!AR290,SPN!AR290,EPN!AR290,SPD!AR290,SPMW!AR290,SSEH!AR290,SSES!AR290)</f>
        <v>2.2200000000000001E-2</v>
      </c>
      <c r="AS290" s="420">
        <f>CHOOSE($B$3,ENWL!AS290,NPgN!AS290,NPgY!AS290,WMID!AS290,EMID!AS290,SWALES!AS290,SWEST!AS290,LPN!AS290,SPN!AS290,EPN!AS290,SPD!AS290,SPMW!AS290,SSEH!AS290,SSES!AS290)</f>
        <v>2.2200000000000001E-2</v>
      </c>
      <c r="AT290" s="420">
        <f>CHOOSE($B$3,ENWL!AT290,NPgN!AT290,NPgY!AT290,WMID!AT290,EMID!AT290,SWALES!AT290,SWEST!AT290,LPN!AT290,SPN!AT290,EPN!AT290,SPD!AT290,SPMW!AT290,SSEH!AT290,SSES!AT290)</f>
        <v>2.2200000000000001E-2</v>
      </c>
      <c r="AU290" s="420">
        <f>CHOOSE($B$3,ENWL!AU290,NPgN!AU290,NPgY!AU290,WMID!AU290,EMID!AU290,SWALES!AU290,SWEST!AU290,LPN!AU290,SPN!AU290,EPN!AU290,SPD!AU290,SPMW!AU290,SSEH!AU290,SSES!AU290)</f>
        <v>2.2200000000000001E-2</v>
      </c>
      <c r="AV290" s="420">
        <f>CHOOSE($B$3,ENWL!AV290,NPgN!AV290,NPgY!AV290,WMID!AV290,EMID!AV290,SWALES!AV290,SWEST!AV290,LPN!AV290,SPN!AV290,EPN!AV290,SPD!AV290,SPMW!AV290,SSEH!AV290,SSES!AV290)</f>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f>CHOOSE($B$3,ENWL!AR292,NPgN!AR292,NPgY!AR292,WMID!AR292,EMID!AR292,SWALES!AR292,SWEST!AR292,LPN!AR292,SPN!AR292,EPN!AR292,SPD!AR292,SPMW!AR292,SSEH!AR292,SSES!AR292)</f>
        <v>1.4366690915062783</v>
      </c>
      <c r="AS292" s="528">
        <f>CHOOSE($B$3,ENWL!AS292,NPgN!AS292,NPgY!AS292,WMID!AS292,EMID!AS292,SWALES!AS292,SWEST!AS292,LPN!AS292,SPN!AS292,EPN!AS292,SPD!AS292,SPMW!AS292,SSEH!AS292,SSES!AS292)</f>
        <v>1.3797759532786635</v>
      </c>
      <c r="AT292" s="528">
        <f>CHOOSE($B$3,ENWL!AT292,NPgN!AT292,NPgY!AT292,WMID!AT292,EMID!AT292,SWALES!AT292,SWEST!AT292,LPN!AT292,SPN!AT292,EPN!AT292,SPD!AT292,SPMW!AT292,SSEH!AT292,SSES!AT292)</f>
        <v>1.2994160329983981</v>
      </c>
      <c r="AU292" s="528">
        <f>CHOOSE($B$3,ENWL!AU292,NPgN!AU292,NPgY!AU292,WMID!AU292,EMID!AU292,SWALES!AU292,SWEST!AU292,LPN!AU292,SPN!AU292,EPN!AU292,SPD!AU292,SPMW!AU292,SSEH!AU292,SSES!AU292)</f>
        <v>1.2615281568238033</v>
      </c>
      <c r="AV292" s="528">
        <f>CHOOSE($B$3,ENWL!AV292,NPgN!AV292,NPgY!AV292,WMID!AV292,EMID!AV292,SWALES!AV292,SWEST!AV292,LPN!AV292,SPN!AV292,EPN!AV292,SPD!AV292,SPMW!AV292,SSEH!AV292,SSES!AV292)</f>
        <v>1.2611798067947679</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0.15407325635268362</v>
      </c>
      <c r="AS296" s="508">
        <f>CHOOSE($B$3,ENWL!AS296,NPgN!AS296,NPgY!AS296,WMID!AS296,EMID!AS296,SWALES!AS296,SWEST!AS296,LPN!AS296,SPN!AS296,EPN!AS296,SPD!AS296,SPMW!AS296,SSEH!AS296,SSES!AS296)</f>
        <v>0.15407325635268362</v>
      </c>
      <c r="AT296" s="508">
        <f>CHOOSE($B$3,ENWL!AT296,NPgN!AT296,NPgY!AT296,WMID!AT296,EMID!AT296,SWALES!AT296,SWEST!AT296,LPN!AT296,SPN!AT296,EPN!AT296,SPD!AT296,SPMW!AT296,SSEH!AT296,SSES!AT296)</f>
        <v>0.1540732563526836</v>
      </c>
      <c r="AU296" s="508">
        <f>CHOOSE($B$3,ENWL!AU296,NPgN!AU296,NPgY!AU296,WMID!AU296,EMID!AU296,SWALES!AU296,SWEST!AU296,LPN!AU296,SPN!AU296,EPN!AU296,SPD!AU296,SPMW!AU296,SSEH!AU296,SSES!AU296)</f>
        <v>0.1540732563526836</v>
      </c>
      <c r="AV296" s="508">
        <f>CHOOSE($B$3,ENWL!AV296,NPgN!AV296,NPgY!AV296,WMID!AV296,EMID!AV296,SWALES!AV296,SWEST!AV296,LPN!AV296,SPN!AV296,EPN!AV296,SPD!AV296,SPMW!AV296,SSEH!AV296,SSES!AV296)</f>
        <v>0.1540732563526836</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0.1540732563526836</v>
      </c>
      <c r="AS297" s="508">
        <f>CHOOSE($B$3,ENWL!AS297,NPgN!AS297,NPgY!AS297,WMID!AS297,EMID!AS297,SWALES!AS297,SWEST!AS297,LPN!AS297,SPN!AS297,EPN!AS297,SPD!AS297,SPMW!AS297,SSEH!AS297,SSES!AS297)</f>
        <v>0.1540732563526836</v>
      </c>
      <c r="AT297" s="508">
        <f>CHOOSE($B$3,ENWL!AT297,NPgN!AT297,NPgY!AT297,WMID!AT297,EMID!AT297,SWALES!AT297,SWEST!AT297,LPN!AT297,SPN!AT297,EPN!AT297,SPD!AT297,SPMW!AT297,SSEH!AT297,SSES!AT297)</f>
        <v>0.15407325635268362</v>
      </c>
      <c r="AU297" s="508">
        <f>CHOOSE($B$3,ENWL!AU297,NPgN!AU297,NPgY!AU297,WMID!AU297,EMID!AU297,SWALES!AU297,SWEST!AU297,LPN!AU297,SPN!AU297,EPN!AU297,SPD!AU297,SPMW!AU297,SSEH!AU297,SSES!AU297)</f>
        <v>0.1540732563526836</v>
      </c>
      <c r="AV297" s="508">
        <f>CHOOSE($B$3,ENWL!AV297,NPgN!AV297,NPgY!AV297,WMID!AV297,EMID!AV297,SWALES!AV297,SWEST!AV297,LPN!AV297,SPN!AV297,EPN!AV297,SPD!AV297,SPMW!AV297,SSEH!AV297,SSES!AV297)</f>
        <v>0.1540732563526836</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0.15353388163275092</v>
      </c>
      <c r="AS298" s="508">
        <f>CHOOSE($B$3,ENWL!AS298,NPgN!AS298,NPgY!AS298,WMID!AS298,EMID!AS298,SWALES!AS298,SWEST!AS298,LPN!AS298,SPN!AS298,EPN!AS298,SPD!AS298,SPMW!AS298,SSEH!AS298,SSES!AS298)</f>
        <v>0.15407325635268362</v>
      </c>
      <c r="AT298" s="508">
        <f>CHOOSE($B$3,ENWL!AT298,NPgN!AT298,NPgY!AT298,WMID!AT298,EMID!AT298,SWALES!AT298,SWEST!AT298,LPN!AT298,SPN!AT298,EPN!AT298,SPD!AT298,SPMW!AT298,SSEH!AT298,SSES!AT298)</f>
        <v>0.1540732563526836</v>
      </c>
      <c r="AU298" s="508">
        <f>CHOOSE($B$3,ENWL!AU298,NPgN!AU298,NPgY!AU298,WMID!AU298,EMID!AU298,SWALES!AU298,SWEST!AU298,LPN!AU298,SPN!AU298,EPN!AU298,SPD!AU298,SPMW!AU298,SSEH!AU298,SSES!AU298)</f>
        <v>0.1540732563526836</v>
      </c>
      <c r="AV298" s="508">
        <f>CHOOSE($B$3,ENWL!AV298,NPgN!AV298,NPgY!AV298,WMID!AV298,EMID!AV298,SWALES!AV298,SWEST!AV298,LPN!AV298,SPN!AV298,EPN!AV298,SPD!AV298,SPMW!AV298,SSEH!AV298,SSES!AV298)</f>
        <v>0.1540732563526836</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8.9362488684556485E-2</v>
      </c>
      <c r="AS299" s="508">
        <f>CHOOSE($B$3,ENWL!AS299,NPgN!AS299,NPgY!AS299,WMID!AS299,EMID!AS299,SWALES!AS299,SWEST!AS299,LPN!AS299,SPN!AS299,EPN!AS299,SPD!AS299,SPMW!AS299,SSEH!AS299,SSES!AS299)</f>
        <v>8.9362488684556485E-2</v>
      </c>
      <c r="AT299" s="508">
        <f>CHOOSE($B$3,ENWL!AT299,NPgN!AT299,NPgY!AT299,WMID!AT299,EMID!AT299,SWALES!AT299,SWEST!AT299,LPN!AT299,SPN!AT299,EPN!AT299,SPD!AT299,SPMW!AT299,SSEH!AT299,SSES!AT299)</f>
        <v>8.9362488684556485E-2</v>
      </c>
      <c r="AU299" s="508">
        <f>CHOOSE($B$3,ENWL!AU299,NPgN!AU299,NPgY!AU299,WMID!AU299,EMID!AU299,SWALES!AU299,SWEST!AU299,LPN!AU299,SPN!AU299,EPN!AU299,SPD!AU299,SPMW!AU299,SSEH!AU299,SSES!AU299)</f>
        <v>8.9362488684556471E-2</v>
      </c>
      <c r="AV299" s="508">
        <f>CHOOSE($B$3,ENWL!AV299,NPgN!AV299,NPgY!AV299,WMID!AV299,EMID!AV299,SWALES!AV299,SWEST!AV299,LPN!AV299,SPN!AV299,EPN!AV299,SPD!AV299,SPMW!AV299,SSEH!AV299,SSES!AV299)</f>
        <v>8.9362488684556471E-2</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2.7595696760607719E-3</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4.3144988519699522E-2</v>
      </c>
      <c r="AS302" s="508">
        <f>CHOOSE($B$3,ENWL!AS302,NPgN!AS302,NPgY!AS302,WMID!AS302,EMID!AS302,SWALES!AS302,SWEST!AS302,LPN!AS302,SPN!AS302,EPN!AS302,SPD!AS302,SPMW!AS302,SSEH!AS302,SSES!AS302)</f>
        <v>4.3147279196409254E-2</v>
      </c>
      <c r="AT302" s="508">
        <f>CHOOSE($B$3,ENWL!AT302,NPgN!AT302,NPgY!AT302,WMID!AT302,EMID!AT302,SWALES!AT302,SWEST!AT302,LPN!AT302,SPN!AT302,EPN!AT302,SPD!AT302,SPMW!AT302,SSEH!AT302,SSES!AT302)</f>
        <v>4.3150758425528131E-2</v>
      </c>
      <c r="AU302" s="508">
        <f>CHOOSE($B$3,ENWL!AU302,NPgN!AU302,NPgY!AU302,WMID!AU302,EMID!AU302,SWALES!AU302,SWEST!AU302,LPN!AU302,SPN!AU302,EPN!AU302,SPD!AU302,SPMW!AU302,SSEH!AU302,SSES!AU302)</f>
        <v>4.3153694945511904E-2</v>
      </c>
      <c r="AV302" s="508">
        <f>CHOOSE($B$3,ENWL!AV302,NPgN!AV302,NPgY!AV302,WMID!AV302,EMID!AV302,SWALES!AV302,SWEST!AV302,LPN!AV302,SPN!AV302,EPN!AV302,SPD!AV302,SPMW!AV302,SSEH!AV302,SSES!AV302)</f>
        <v>4.3157738460240777E-2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0.39439758482229198</v>
      </c>
      <c r="AS303" s="508">
        <f>CHOOSE($B$3,ENWL!AS303,NPgN!AS303,NPgY!AS303,WMID!AS303,EMID!AS303,SWALES!AS303,SWEST!AS303,LPN!AS303,SPN!AS303,EPN!AS303,SPD!AS303,SPMW!AS303,SSEH!AS303,SSES!AS303)</f>
        <v>0.39439758482229198</v>
      </c>
      <c r="AT303" s="508">
        <f>CHOOSE($B$3,ENWL!AT303,NPgN!AT303,NPgY!AT303,WMID!AT303,EMID!AT303,SWALES!AT303,SWEST!AT303,LPN!AT303,SPN!AT303,EPN!AT303,SPD!AT303,SPMW!AT303,SSEH!AT303,SSES!AT303)</f>
        <v>0.39439758482229187</v>
      </c>
      <c r="AU303" s="508">
        <f>CHOOSE($B$3,ENWL!AU303,NPgN!AU303,NPgY!AU303,WMID!AU303,EMID!AU303,SWALES!AU303,SWEST!AU303,LPN!AU303,SPN!AU303,EPN!AU303,SPD!AU303,SPMW!AU303,SSEH!AU303,SSES!AU303)</f>
        <v>0.39439758482229198</v>
      </c>
      <c r="AV303" s="508">
        <f>CHOOSE($B$3,ENWL!AV303,NPgN!AV303,NPgY!AV303,WMID!AV303,EMID!AV303,SWALES!AV303,SWEST!AV303,LPN!AV303,SPN!AV303,EPN!AV303,SPD!AV303,SPMW!AV303,SSEH!AV303,SSES!AV303)</f>
        <v>0.39439758482229192</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0.39439758482229192</v>
      </c>
      <c r="AS304" s="508">
        <f>CHOOSE($B$3,ENWL!AS304,NPgN!AS304,NPgY!AS304,WMID!AS304,EMID!AS304,SWALES!AS304,SWEST!AS304,LPN!AS304,SPN!AS304,EPN!AS304,SPD!AS304,SPMW!AS304,SSEH!AS304,SSES!AS304)</f>
        <v>0.39439758482229198</v>
      </c>
      <c r="AT304" s="508">
        <f>CHOOSE($B$3,ENWL!AT304,NPgN!AT304,NPgY!AT304,WMID!AT304,EMID!AT304,SWALES!AT304,SWEST!AT304,LPN!AT304,SPN!AT304,EPN!AT304,SPD!AT304,SPMW!AT304,SSEH!AT304,SSES!AT304)</f>
        <v>0.39439758482229192</v>
      </c>
      <c r="AU304" s="508">
        <f>CHOOSE($B$3,ENWL!AU304,NPgN!AU304,NPgY!AU304,WMID!AU304,EMID!AU304,SWALES!AU304,SWEST!AU304,LPN!AU304,SPN!AU304,EPN!AU304,SPD!AU304,SPMW!AU304,SSEH!AU304,SSES!AU304)</f>
        <v>0.39439758482229192</v>
      </c>
      <c r="AV304" s="508">
        <f>CHOOSE($B$3,ENWL!AV304,NPgN!AV304,NPgY!AV304,WMID!AV304,EMID!AV304,SWALES!AV304,SWEST!AV304,LPN!AV304,SPN!AV304,EPN!AV304,SPD!AV304,SPMW!AV304,SSEH!AV304,SSES!AV304)</f>
        <v>0.39439758482229192</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0.39301689039230797</v>
      </c>
      <c r="AS305" s="508">
        <f>CHOOSE($B$3,ENWL!AS305,NPgN!AS305,NPgY!AS305,WMID!AS305,EMID!AS305,SWALES!AS305,SWEST!AS305,LPN!AS305,SPN!AS305,EPN!AS305,SPD!AS305,SPMW!AS305,SSEH!AS305,SSES!AS305)</f>
        <v>0.39439758482229192</v>
      </c>
      <c r="AT305" s="508">
        <f>CHOOSE($B$3,ENWL!AT305,NPgN!AT305,NPgY!AT305,WMID!AT305,EMID!AT305,SWALES!AT305,SWEST!AT305,LPN!AT305,SPN!AT305,EPN!AT305,SPD!AT305,SPMW!AT305,SSEH!AT305,SSES!AT305)</f>
        <v>0.39439758482229198</v>
      </c>
      <c r="AU305" s="508">
        <f>CHOOSE($B$3,ENWL!AU305,NPgN!AU305,NPgY!AU305,WMID!AU305,EMID!AU305,SWALES!AU305,SWEST!AU305,LPN!AU305,SPN!AU305,EPN!AU305,SPD!AU305,SPMW!AU305,SSEH!AU305,SSES!AU305)</f>
        <v>0.39439758482229192</v>
      </c>
      <c r="AV305" s="508">
        <f>CHOOSE($B$3,ENWL!AV305,NPgN!AV305,NPgY!AV305,WMID!AV305,EMID!AV305,SWALES!AV305,SWEST!AV305,LPN!AV305,SPN!AV305,EPN!AV305,SPD!AV305,SPMW!AV305,SSEH!AV305,SSES!AV305)</f>
        <v>0.39439758482229192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0.22875059919692933</v>
      </c>
      <c r="AS306" s="508">
        <f>CHOOSE($B$3,ENWL!AS306,NPgN!AS306,NPgY!AS306,WMID!AS306,EMID!AS306,SWALES!AS306,SWEST!AS306,LPN!AS306,SPN!AS306,EPN!AS306,SPD!AS306,SPMW!AS306,SSEH!AS306,SSES!AS306)</f>
        <v>0.22875059919692928</v>
      </c>
      <c r="AT306" s="508">
        <f>CHOOSE($B$3,ENWL!AT306,NPgN!AT306,NPgY!AT306,WMID!AT306,EMID!AT306,SWALES!AT306,SWEST!AT306,LPN!AT306,SPN!AT306,EPN!AT306,SPD!AT306,SPMW!AT306,SSEH!AT306,SSES!AT306)</f>
        <v>0.22875059919692928</v>
      </c>
      <c r="AU306" s="508">
        <f>CHOOSE($B$3,ENWL!AU306,NPgN!AU306,NPgY!AU306,WMID!AU306,EMID!AU306,SWALES!AU306,SWEST!AU306,LPN!AU306,SPN!AU306,EPN!AU306,SPD!AU306,SPMW!AU306,SSEH!AU306,SSES!AU306)</f>
        <v>0.22875059919692928</v>
      </c>
      <c r="AV306" s="508">
        <f>CHOOSE($B$3,ENWL!AV306,NPgN!AV306,NPgY!AV306,WMID!AV306,EMID!AV306,SWALES!AV306,SWEST!AV306,LPN!AV306,SPN!AV306,EPN!AV306,SPD!AV306,SPMW!AV306,SSEH!AV306,SSES!AV306)</f>
        <v>0.22875059919692931</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7.0639619175430395E-3</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0.11044278333680212</v>
      </c>
      <c r="AS309" s="508">
        <f>CHOOSE($B$3,ENWL!AS309,NPgN!AS309,NPgY!AS309,WMID!AS309,EMID!AS309,SWALES!AS309,SWEST!AS309,LPN!AS309,SPN!AS309,EPN!AS309,SPD!AS309,SPMW!AS309,SSEH!AS309,SSES!AS309)</f>
        <v>0.11044864702387741</v>
      </c>
      <c r="AT309" s="508">
        <f>CHOOSE($B$3,ENWL!AT309,NPgN!AT309,NPgY!AT309,WMID!AT309,EMID!AT309,SWALES!AT309,SWEST!AT309,LPN!AT309,SPN!AT309,EPN!AT309,SPD!AT309,SPMW!AT309,SSEH!AT309,SSES!AT309)</f>
        <v>0.11045755317406869</v>
      </c>
      <c r="AU309" s="508">
        <f>CHOOSE($B$3,ENWL!AU309,NPgN!AU309,NPgY!AU309,WMID!AU309,EMID!AU309,SWALES!AU309,SWEST!AU309,LPN!AU309,SPN!AU309,EPN!AU309,SPD!AU309,SPMW!AU309,SSEH!AU309,SSES!AU309)</f>
        <v>0.11046507009437528</v>
      </c>
      <c r="AV309" s="508">
        <f>CHOOSE($B$3,ENWL!AV309,NPgN!AV309,NPgY!AV309,WMID!AV309,EMID!AV309,SWALES!AV309,SWEST!AV309,LPN!AV309,SPN!AV309,EPN!AV309,SPD!AV309,SPMW!AV309,SSEH!AV309,SSES!AV309)</f>
        <v>0.11047542070603242</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0.39973889445946187</v>
      </c>
      <c r="AS310" s="508">
        <f>CHOOSE($B$3,ENWL!AS310,NPgN!AS310,NPgY!AS310,WMID!AS310,EMID!AS310,SWALES!AS310,SWEST!AS310,LPN!AS310,SPN!AS310,EPN!AS310,SPD!AS310,SPMW!AS310,SSEH!AS310,SSES!AS310)</f>
        <v>0.39973889445946198</v>
      </c>
      <c r="AT310" s="508">
        <f>CHOOSE($B$3,ENWL!AT310,NPgN!AT310,NPgY!AT310,WMID!AT310,EMID!AT310,SWALES!AT310,SWEST!AT310,LPN!AT310,SPN!AT310,EPN!AT310,SPD!AT310,SPMW!AT310,SSEH!AT310,SSES!AT310)</f>
        <v>0.39973889445946187</v>
      </c>
      <c r="AU310" s="508">
        <f>CHOOSE($B$3,ENWL!AU310,NPgN!AU310,NPgY!AU310,WMID!AU310,EMID!AU310,SWALES!AU310,SWEST!AU310,LPN!AU310,SPN!AU310,EPN!AU310,SPD!AU310,SPMW!AU310,SSEH!AU310,SSES!AU310)</f>
        <v>0.39973889445946187</v>
      </c>
      <c r="AV310" s="508">
        <f>CHOOSE($B$3,ENWL!AV310,NPgN!AV310,NPgY!AV310,WMID!AV310,EMID!AV310,SWALES!AV310,SWEST!AV310,LPN!AV310,SPN!AV310,EPN!AV310,SPD!AV310,SPMW!AV310,SSEH!AV310,SSES!AV310)</f>
        <v>0.39973889445946192</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0.39973889445946181</v>
      </c>
      <c r="AS311" s="508">
        <f>CHOOSE($B$3,ENWL!AS311,NPgN!AS311,NPgY!AS311,WMID!AS311,EMID!AS311,SWALES!AS311,SWEST!AS311,LPN!AS311,SPN!AS311,EPN!AS311,SPD!AS311,SPMW!AS311,SSEH!AS311,SSES!AS311)</f>
        <v>0.39973889445946187</v>
      </c>
      <c r="AT311" s="508">
        <f>CHOOSE($B$3,ENWL!AT311,NPgN!AT311,NPgY!AT311,WMID!AT311,EMID!AT311,SWALES!AT311,SWEST!AT311,LPN!AT311,SPN!AT311,EPN!AT311,SPD!AT311,SPMW!AT311,SSEH!AT311,SSES!AT311)</f>
        <v>0.39973889445946192</v>
      </c>
      <c r="AU311" s="508">
        <f>CHOOSE($B$3,ENWL!AU311,NPgN!AU311,NPgY!AU311,WMID!AU311,EMID!AU311,SWALES!AU311,SWEST!AU311,LPN!AU311,SPN!AU311,EPN!AU311,SPD!AU311,SPMW!AU311,SSEH!AU311,SSES!AU311)</f>
        <v>0.39973889445946187</v>
      </c>
      <c r="AV311" s="508">
        <f>CHOOSE($B$3,ENWL!AV311,NPgN!AV311,NPgY!AV311,WMID!AV311,EMID!AV311,SWALES!AV311,SWEST!AV311,LPN!AV311,SPN!AV311,EPN!AV311,SPD!AV311,SPMW!AV311,SSEH!AV311,SSES!AV311)</f>
        <v>0.39973889445946181</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0.39833950134381485</v>
      </c>
      <c r="AS312" s="508">
        <f>CHOOSE($B$3,ENWL!AS312,NPgN!AS312,NPgY!AS312,WMID!AS312,EMID!AS312,SWALES!AS312,SWEST!AS312,LPN!AS312,SPN!AS312,EPN!AS312,SPD!AS312,SPMW!AS312,SSEH!AS312,SSES!AS312)</f>
        <v>0.39973889445946192</v>
      </c>
      <c r="AT312" s="508">
        <f>CHOOSE($B$3,ENWL!AT312,NPgN!AT312,NPgY!AT312,WMID!AT312,EMID!AT312,SWALES!AT312,SWEST!AT312,LPN!AT312,SPN!AT312,EPN!AT312,SPD!AT312,SPMW!AT312,SSEH!AT312,SSES!AT312)</f>
        <v>0.39973889445946192</v>
      </c>
      <c r="AU312" s="508">
        <f>CHOOSE($B$3,ENWL!AU312,NPgN!AU312,NPgY!AU312,WMID!AU312,EMID!AU312,SWALES!AU312,SWEST!AU312,LPN!AU312,SPN!AU312,EPN!AU312,SPD!AU312,SPMW!AU312,SSEH!AU312,SSES!AU312)</f>
        <v>0.39973889445946181</v>
      </c>
      <c r="AV312" s="508">
        <f>CHOOSE($B$3,ENWL!AV312,NPgN!AV312,NPgY!AV312,WMID!AV312,EMID!AV312,SWALES!AV312,SWEST!AV312,LPN!AV312,SPN!AV312,EPN!AV312,SPD!AV312,SPMW!AV312,SSEH!AV312,SSES!AV312)</f>
        <v>0.39973889445946187</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0.23184855878648788</v>
      </c>
      <c r="AS313" s="508">
        <f>CHOOSE($B$3,ENWL!AS313,NPgN!AS313,NPgY!AS313,WMID!AS313,EMID!AS313,SWALES!AS313,SWEST!AS313,LPN!AS313,SPN!AS313,EPN!AS313,SPD!AS313,SPMW!AS313,SSEH!AS313,SSES!AS313)</f>
        <v>0.23184855878648783</v>
      </c>
      <c r="AT313" s="508">
        <f>CHOOSE($B$3,ENWL!AT313,NPgN!AT313,NPgY!AT313,WMID!AT313,EMID!AT313,SWALES!AT313,SWEST!AT313,LPN!AT313,SPN!AT313,EPN!AT313,SPD!AT313,SPMW!AT313,SSEH!AT313,SSES!AT313)</f>
        <v>0.23184855878648783</v>
      </c>
      <c r="AU313" s="508">
        <f>CHOOSE($B$3,ENWL!AU313,NPgN!AU313,NPgY!AU313,WMID!AU313,EMID!AU313,SWALES!AU313,SWEST!AU313,LPN!AU313,SPN!AU313,EPN!AU313,SPD!AU313,SPMW!AU313,SSEH!AU313,SSES!AU313)</f>
        <v>0.23184855878648783</v>
      </c>
      <c r="AV313" s="508">
        <f>CHOOSE($B$3,ENWL!AV313,NPgN!AV313,NPgY!AV313,WMID!AV313,EMID!AV313,SWALES!AV313,SWEST!AV313,LPN!AV313,SPN!AV313,EPN!AV313,SPD!AV313,SPMW!AV313,SSEH!AV313,SSES!AV313)</f>
        <v>0.23184855878648783</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7.1596288519229102E-3</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0.11193850523190076</v>
      </c>
      <c r="AS316" s="508">
        <f>CHOOSE($B$3,ENWL!AS316,NPgN!AS316,NPgY!AS316,WMID!AS316,EMID!AS316,SWALES!AS316,SWEST!AS316,LPN!AS316,SPN!AS316,EPN!AS316,SPD!AS316,SPMW!AS316,SSEH!AS316,SSES!AS316)</f>
        <v>0.11194444833063956</v>
      </c>
      <c r="AT316" s="508">
        <f>CHOOSE($B$3,ENWL!AT316,NPgN!AT316,NPgY!AT316,WMID!AT316,EMID!AT316,SWALES!AT316,SWEST!AT316,LPN!AT316,SPN!AT316,EPN!AT316,SPD!AT316,SPMW!AT316,SSEH!AT316,SSES!AT316)</f>
        <v>0.11195347509644227</v>
      </c>
      <c r="AU316" s="508">
        <f>CHOOSE($B$3,ENWL!AU316,NPgN!AU316,NPgY!AU316,WMID!AU316,EMID!AU316,SWALES!AU316,SWEST!AU316,LPN!AU316,SPN!AU316,EPN!AU316,SPD!AU316,SPMW!AU316,SSEH!AU316,SSES!AU316)</f>
        <v>0.11196109381807934</v>
      </c>
      <c r="AV316" s="508">
        <f>CHOOSE($B$3,ENWL!AV316,NPgN!AV316,NPgY!AV316,WMID!AV316,EMID!AV316,SWALES!AV316,SWEST!AV316,LPN!AV316,SPN!AV316,EPN!AV316,SPD!AV316,SPMW!AV316,SSEH!AV316,SSES!AV316)</f>
        <v>0.11197158460762781</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3.1705596201959105E-2</v>
      </c>
      <c r="AS317" s="508">
        <f>CHOOSE($B$3,ENWL!AS317,NPgN!AS317,NPgY!AS317,WMID!AS317,EMID!AS317,SWALES!AS317,SWEST!AS317,LPN!AS317,SPN!AS317,EPN!AS317,SPD!AS317,SPMW!AS317,SSEH!AS317,SSES!AS317)</f>
        <v>3.1705596201959105E-2</v>
      </c>
      <c r="AT317" s="508">
        <f>CHOOSE($B$3,ENWL!AT317,NPgN!AT317,NPgY!AT317,WMID!AT317,EMID!AT317,SWALES!AT317,SWEST!AT317,LPN!AT317,SPN!AT317,EPN!AT317,SPD!AT317,SPMW!AT317,SSEH!AT317,SSES!AT317)</f>
        <v>3.1705596201959091E-2</v>
      </c>
      <c r="AU317" s="508">
        <f>CHOOSE($B$3,ENWL!AU317,NPgN!AU317,NPgY!AU317,WMID!AU317,EMID!AU317,SWALES!AU317,SWEST!AU317,LPN!AU317,SPN!AU317,EPN!AU317,SPD!AU317,SPMW!AU317,SSEH!AU317,SSES!AU317)</f>
        <v>3.1705596201959098E-2</v>
      </c>
      <c r="AV317" s="508">
        <f>CHOOSE($B$3,ENWL!AV317,NPgN!AV317,NPgY!AV317,WMID!AV317,EMID!AV317,SWALES!AV317,SWEST!AV317,LPN!AV317,SPN!AV317,EPN!AV317,SPD!AV317,SPMW!AV317,SSEH!AV317,SSES!AV317)</f>
        <v>3.1705596201959105E-2</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3.1705596201959098E-2</v>
      </c>
      <c r="AS318" s="508">
        <f>CHOOSE($B$3,ENWL!AS318,NPgN!AS318,NPgY!AS318,WMID!AS318,EMID!AS318,SWALES!AS318,SWEST!AS318,LPN!AS318,SPN!AS318,EPN!AS318,SPD!AS318,SPMW!AS318,SSEH!AS318,SSES!AS318)</f>
        <v>3.1705596201959098E-2</v>
      </c>
      <c r="AT318" s="508">
        <f>CHOOSE($B$3,ENWL!AT318,NPgN!AT318,NPgY!AT318,WMID!AT318,EMID!AT318,SWALES!AT318,SWEST!AT318,LPN!AT318,SPN!AT318,EPN!AT318,SPD!AT318,SPMW!AT318,SSEH!AT318,SSES!AT318)</f>
        <v>3.1705596201959098E-2</v>
      </c>
      <c r="AU318" s="508">
        <f>CHOOSE($B$3,ENWL!AU318,NPgN!AU318,NPgY!AU318,WMID!AU318,EMID!AU318,SWALES!AU318,SWEST!AU318,LPN!AU318,SPN!AU318,EPN!AU318,SPD!AU318,SPMW!AU318,SSEH!AU318,SSES!AU318)</f>
        <v>3.1705596201959098E-2</v>
      </c>
      <c r="AV318" s="508">
        <f>CHOOSE($B$3,ENWL!AV318,NPgN!AV318,NPgY!AV318,WMID!AV318,EMID!AV318,SWALES!AV318,SWEST!AV318,LPN!AV318,SPN!AV318,EPN!AV318,SPD!AV318,SPMW!AV318,SSEH!AV318,SSES!AV318)</f>
        <v>3.1705596201959098E-2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3.1594602266499044E-2</v>
      </c>
      <c r="AS319" s="508">
        <f>CHOOSE($B$3,ENWL!AS319,NPgN!AS319,NPgY!AS319,WMID!AS319,EMID!AS319,SWALES!AS319,SWEST!AS319,LPN!AS319,SPN!AS319,EPN!AS319,SPD!AS319,SPMW!AS319,SSEH!AS319,SSES!AS319)</f>
        <v>3.1705596201959098E-2</v>
      </c>
      <c r="AT319" s="508">
        <f>CHOOSE($B$3,ENWL!AT319,NPgN!AT319,NPgY!AT319,WMID!AT319,EMID!AT319,SWALES!AT319,SWEST!AT319,LPN!AT319,SPN!AT319,EPN!AT319,SPD!AT319,SPMW!AT319,SSEH!AT319,SSES!AT319)</f>
        <v>3.1705596201959105E-2</v>
      </c>
      <c r="AU319" s="508">
        <f>CHOOSE($B$3,ENWL!AU319,NPgN!AU319,NPgY!AU319,WMID!AU319,EMID!AU319,SWALES!AU319,SWEST!AU319,LPN!AU319,SPN!AU319,EPN!AU319,SPD!AU319,SPMW!AU319,SSEH!AU319,SSES!AU319)</f>
        <v>3.1705596201959098E-2</v>
      </c>
      <c r="AV319" s="508">
        <f>CHOOSE($B$3,ENWL!AV319,NPgN!AV319,NPgY!AV319,WMID!AV319,EMID!AV319,SWALES!AV319,SWEST!AV319,LPN!AV319,SPN!AV319,EPN!AV319,SPD!AV319,SPMW!AV319,SSEH!AV319,SSES!AV319)</f>
        <v>3.1705596201959098E-2</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1.8389245797136276E-2</v>
      </c>
      <c r="AS320" s="508">
        <f>CHOOSE($B$3,ENWL!AS320,NPgN!AS320,NPgY!AS320,WMID!AS320,EMID!AS320,SWALES!AS320,SWEST!AS320,LPN!AS320,SPN!AS320,EPN!AS320,SPD!AS320,SPMW!AS320,SSEH!AS320,SSES!AS320)</f>
        <v>1.8389245797136276E-2</v>
      </c>
      <c r="AT320" s="508">
        <f>CHOOSE($B$3,ENWL!AT320,NPgN!AT320,NPgY!AT320,WMID!AT320,EMID!AT320,SWALES!AT320,SWEST!AT320,LPN!AT320,SPN!AT320,EPN!AT320,SPD!AT320,SPMW!AT320,SSEH!AT320,SSES!AT320)</f>
        <v>1.8389245797136276E-2</v>
      </c>
      <c r="AU320" s="508">
        <f>CHOOSE($B$3,ENWL!AU320,NPgN!AU320,NPgY!AU320,WMID!AU320,EMID!AU320,SWALES!AU320,SWEST!AU320,LPN!AU320,SPN!AU320,EPN!AU320,SPD!AU320,SPMW!AU320,SSEH!AU320,SSES!AU320)</f>
        <v>1.8389245797136272E-2</v>
      </c>
      <c r="AV320" s="508">
        <f>CHOOSE($B$3,ENWL!AV320,NPgN!AV320,NPgY!AV320,WMID!AV320,EMID!AV320,SWALES!AV320,SWEST!AV320,LPN!AV320,SPN!AV320,EPN!AV320,SPD!AV320,SPMW!AV320,SSEH!AV320,SSES!AV320)</f>
        <v>1.8389245797136276E-2</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5.6787143928518631E-4</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8.8784881719670868E-3</v>
      </c>
      <c r="AS323" s="508">
        <f>CHOOSE($B$3,ENWL!AS323,NPgN!AS323,NPgY!AS323,WMID!AS323,EMID!AS323,SWALES!AS323,SWEST!AS323,LPN!AS323,SPN!AS323,EPN!AS323,SPD!AS323,SPMW!AS323,SSEH!AS323,SSES!AS323)</f>
        <v>8.8789595533898414E-3</v>
      </c>
      <c r="AT323" s="508">
        <f>CHOOSE($B$3,ENWL!AT323,NPgN!AT323,NPgY!AT323,WMID!AT323,EMID!AT323,SWALES!AT323,SWEST!AT323,LPN!AT323,SPN!AT323,EPN!AT323,SPD!AT323,SPMW!AT323,SSEH!AT323,SSES!AT323)</f>
        <v>8.8796755182246785E-3</v>
      </c>
      <c r="AU323" s="508">
        <f>CHOOSE($B$3,ENWL!AU323,NPgN!AU323,NPgY!AU323,WMID!AU323,EMID!AU323,SWALES!AU323,SWEST!AU323,LPN!AU323,SPN!AU323,EPN!AU323,SPD!AU323,SPMW!AU323,SSEH!AU323,SSES!AU323)</f>
        <v>8.8802798029594086E-3</v>
      </c>
      <c r="AV323" s="508">
        <f>CHOOSE($B$3,ENWL!AV323,NPgN!AV323,NPgY!AV323,WMID!AV323,EMID!AV323,SWALES!AV323,SWEST!AV323,LPN!AV323,SPN!AV323,EPN!AV323,SPD!AV323,SPMW!AV323,SSEH!AV323,SSES!AV323)</f>
        <v>8.8811118879575796E-3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3.5007679638963209E-3</v>
      </c>
      <c r="AS326" s="508">
        <f>CHOOSE($B$3,ENWL!AS326,NPgN!AS326,NPgY!AS326,WMID!AS326,EMID!AS326,SWALES!AS326,SWEST!AS326,LPN!AS326,SPN!AS326,EPN!AS326,SPD!AS326,SPMW!AS326,SSEH!AS326,SSES!AS326)</f>
        <v>0</v>
      </c>
      <c r="AT326" s="508">
        <f>CHOOSE($B$3,ENWL!AT326,NPgN!AT326,NPgY!AT326,WMID!AT326,EMID!AT326,SWALES!AT326,SWEST!AT326,LPN!AT326,SPN!AT326,EPN!AT326,SPD!AT326,SPMW!AT326,SSEH!AT326,SSES!AT326)</f>
        <v>0</v>
      </c>
      <c r="AU326" s="508">
        <f>CHOOSE($B$3,ENWL!AU326,NPgN!AU326,NPgY!AU326,WMID!AU326,EMID!AU326,SWALES!AU326,SWEST!AU326,LPN!AU326,SPN!AU326,EPN!AU326,SPD!AU326,SPMW!AU326,SSEH!AU326,SSES!AU326)</f>
        <v>0</v>
      </c>
      <c r="AV326" s="508">
        <f>CHOOSE($B$3,ENWL!AV326,NPgN!AV326,NPgY!AV326,WMID!AV326,EMID!AV326,SWALES!AV326,SWEST!AV326,LPN!AV326,SPN!AV326,EPN!AV326,SPD!AV326,SPMW!AV326,SSEH!AV326,SSES!AV326)</f>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0.42000000000000004</v>
      </c>
      <c r="AS327" s="508">
        <f>CHOOSE($B$3,ENWL!AS327,NPgN!AS327,NPgY!AS327,WMID!AS327,EMID!AS327,SWALES!AS327,SWEST!AS327,LPN!AS327,SPN!AS327,EPN!AS327,SPD!AS327,SPMW!AS327,SSEH!AS327,SSES!AS327)</f>
        <v>0.42000000000000004</v>
      </c>
      <c r="AT327" s="508">
        <f>CHOOSE($B$3,ENWL!AT327,NPgN!AT327,NPgY!AT327,WMID!AT327,EMID!AT327,SWALES!AT327,SWEST!AT327,LPN!AT327,SPN!AT327,EPN!AT327,SPD!AT327,SPMW!AT327,SSEH!AT327,SSES!AT327)</f>
        <v>0.42</v>
      </c>
      <c r="AU327" s="508">
        <f>CHOOSE($B$3,ENWL!AU327,NPgN!AU327,NPgY!AU327,WMID!AU327,EMID!AU327,SWALES!AU327,SWEST!AU327,LPN!AU327,SPN!AU327,EPN!AU327,SPD!AU327,SPMW!AU327,SSEH!AU327,SSES!AU327)</f>
        <v>0.42000000000000004</v>
      </c>
      <c r="AV327" s="508">
        <f>CHOOSE($B$3,ENWL!AV327,NPgN!AV327,NPgY!AV327,WMID!AV327,EMID!AV327,SWALES!AV327,SWEST!AV327,LPN!AV327,SPN!AV327,EPN!AV327,SPD!AV327,SPMW!AV327,SSEH!AV327,SSES!AV327)</f>
        <v>0.42000000000000004</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0.98208923637114576</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0.719970944075214</v>
      </c>
      <c r="AS330" s="508">
        <f>CHOOSE($B$3,ENWL!AS330,NPgN!AS330,NPgY!AS330,WMID!AS330,EMID!AS330,SWALES!AS330,SWEST!AS330,LPN!AS330,SPN!AS330,EPN!AS330,SPD!AS330,SPMW!AS330,SSEH!AS330,SSES!AS330)</f>
        <v>0.71995607662343197</v>
      </c>
      <c r="AT330" s="508">
        <f>CHOOSE($B$3,ENWL!AT330,NPgN!AT330,NPgY!AT330,WMID!AT330,EMID!AT330,SWALES!AT330,SWEST!AT330,LPN!AT330,SPN!AT330,EPN!AT330,SPD!AT330,SPMW!AT330,SSEH!AT330,SSES!AT330)</f>
        <v>0.71993349496843717</v>
      </c>
      <c r="AU330" s="508">
        <f>CHOOSE($B$3,ENWL!AU330,NPgN!AU330,NPgY!AU330,WMID!AU330,EMID!AU330,SWALES!AU330,SWEST!AU330,LPN!AU330,SPN!AU330,EPN!AU330,SPD!AU330,SPMW!AU330,SSEH!AU330,SSES!AU330)</f>
        <v>0.71991443572315805</v>
      </c>
      <c r="AV330" s="508">
        <f>CHOOSE($B$3,ENWL!AV330,NPgN!AV330,NPgY!AV330,WMID!AV330,EMID!AV330,SWALES!AV330,SWEST!AV330,LPN!AV330,SPN!AV330,EPN!AV330,SPD!AV330,SPMW!AV330,SSEH!AV330,SSES!AV330)</f>
        <v>0.71988819161808371</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2.0084668163603485E-2</v>
      </c>
      <c r="AS331" s="508">
        <f>CHOOSE($B$3,ENWL!AS331,NPgN!AS331,NPgY!AS331,WMID!AS331,EMID!AS331,SWALES!AS331,SWEST!AS331,LPN!AS331,SPN!AS331,EPN!AS331,SPD!AS331,SPMW!AS331,SSEH!AS331,SSES!AS331)</f>
        <v>2.0084668163603488E-2</v>
      </c>
      <c r="AT331" s="508">
        <f>CHOOSE($B$3,ENWL!AT331,NPgN!AT331,NPgY!AT331,WMID!AT331,EMID!AT331,SWALES!AT331,SWEST!AT331,LPN!AT331,SPN!AT331,EPN!AT331,SPD!AT331,SPMW!AT331,SSEH!AT331,SSES!AT331)</f>
        <v>2.0084668163603478E-2</v>
      </c>
      <c r="AU331" s="508">
        <f>CHOOSE($B$3,ENWL!AU331,NPgN!AU331,NPgY!AU331,WMID!AU331,EMID!AU331,SWALES!AU331,SWEST!AU331,LPN!AU331,SPN!AU331,EPN!AU331,SPD!AU331,SPMW!AU331,SSEH!AU331,SSES!AU331)</f>
        <v>2.0084668163603481E-2</v>
      </c>
      <c r="AV331" s="508">
        <f>CHOOSE($B$3,ENWL!AV331,NPgN!AV331,NPgY!AV331,WMID!AV331,EMID!AV331,SWALES!AV331,SWEST!AV331,LPN!AV331,SPN!AV331,EPN!AV331,SPD!AV331,SPMW!AV331,SSEH!AV331,SSES!AV331)</f>
        <v>2.0084668163603485E-2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2.0084668163603481E-2</v>
      </c>
      <c r="AS332" s="508">
        <f>CHOOSE($B$3,ENWL!AS332,NPgN!AS332,NPgY!AS332,WMID!AS332,EMID!AS332,SWALES!AS332,SWEST!AS332,LPN!AS332,SPN!AS332,EPN!AS332,SPD!AS332,SPMW!AS332,SSEH!AS332,SSES!AS332)</f>
        <v>2.0084668163603481E-2</v>
      </c>
      <c r="AT332" s="508">
        <f>CHOOSE($B$3,ENWL!AT332,NPgN!AT332,NPgY!AT332,WMID!AT332,EMID!AT332,SWALES!AT332,SWEST!AT332,LPN!AT332,SPN!AT332,EPN!AT332,SPD!AT332,SPMW!AT332,SSEH!AT332,SSES!AT332)</f>
        <v>2.0084668163603481E-2</v>
      </c>
      <c r="AU332" s="508">
        <f>CHOOSE($B$3,ENWL!AU332,NPgN!AU332,NPgY!AU332,WMID!AU332,EMID!AU332,SWALES!AU332,SWEST!AU332,LPN!AU332,SPN!AU332,EPN!AU332,SPD!AU332,SPMW!AU332,SSEH!AU332,SSES!AU332)</f>
        <v>2.0084668163603481E-2</v>
      </c>
      <c r="AV332" s="508">
        <f>CHOOSE($B$3,ENWL!AV332,NPgN!AV332,NPgY!AV332,WMID!AV332,EMID!AV332,SWALES!AV332,SWEST!AV332,LPN!AV332,SPN!AV332,EPN!AV332,SPD!AV332,SPMW!AV332,SSEH!AV332,SSES!AV332)</f>
        <v>2.0084668163603478E-2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2.0014356400730848E-2</v>
      </c>
      <c r="AS333" s="508">
        <f>CHOOSE($B$3,ENWL!AS333,NPgN!AS333,NPgY!AS333,WMID!AS333,EMID!AS333,SWALES!AS333,SWEST!AS333,LPN!AS333,SPN!AS333,EPN!AS333,SPD!AS333,SPMW!AS333,SSEH!AS333,SSES!AS333)</f>
        <v>2.0084668163603485E-2</v>
      </c>
      <c r="AT333" s="508">
        <f>CHOOSE($B$3,ENWL!AT333,NPgN!AT333,NPgY!AT333,WMID!AT333,EMID!AT333,SWALES!AT333,SWEST!AT333,LPN!AT333,SPN!AT333,EPN!AT333,SPD!AT333,SPMW!AT333,SSEH!AT333,SSES!AT333)</f>
        <v>2.0084668163603485E-2</v>
      </c>
      <c r="AU333" s="508">
        <f>CHOOSE($B$3,ENWL!AU333,NPgN!AU333,NPgY!AU333,WMID!AU333,EMID!AU333,SWALES!AU333,SWEST!AU333,LPN!AU333,SPN!AU333,EPN!AU333,SPD!AU333,SPMW!AU333,SSEH!AU333,SSES!AU333)</f>
        <v>2.0084668163603481E-2</v>
      </c>
      <c r="AV333" s="508">
        <f>CHOOSE($B$3,ENWL!AV333,NPgN!AV333,NPgY!AV333,WMID!AV333,EMID!AV333,SWALES!AV333,SWEST!AV333,LPN!AV333,SPN!AV333,EPN!AV333,SPD!AV333,SPMW!AV333,SSEH!AV333,SSES!AV333)</f>
        <v>2.0084668163603481E-2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1.1649107534890018E-2</v>
      </c>
      <c r="AS334" s="508">
        <f>CHOOSE($B$3,ENWL!AS334,NPgN!AS334,NPgY!AS334,WMID!AS334,EMID!AS334,SWALES!AS334,SWEST!AS334,LPN!AS334,SPN!AS334,EPN!AS334,SPD!AS334,SPMW!AS334,SSEH!AS334,SSES!AS334)</f>
        <v>1.1649107534890017E-2</v>
      </c>
      <c r="AT334" s="508">
        <f>CHOOSE($B$3,ENWL!AT334,NPgN!AT334,NPgY!AT334,WMID!AT334,EMID!AT334,SWALES!AT334,SWEST!AT334,LPN!AT334,SPN!AT334,EPN!AT334,SPD!AT334,SPMW!AT334,SSEH!AT334,SSES!AT334)</f>
        <v>1.1649107534890018E-2</v>
      </c>
      <c r="AU334" s="508">
        <f>CHOOSE($B$3,ENWL!AU334,NPgN!AU334,NPgY!AU334,WMID!AU334,EMID!AU334,SWALES!AU334,SWEST!AU334,LPN!AU334,SPN!AU334,EPN!AU334,SPD!AU334,SPMW!AU334,SSEH!AU334,SSES!AU334)</f>
        <v>1.1649107534890017E-2</v>
      </c>
      <c r="AV334" s="508">
        <f>CHOOSE($B$3,ENWL!AV334,NPgN!AV334,NPgY!AV334,WMID!AV334,EMID!AV334,SWALES!AV334,SWEST!AV334,LPN!AV334,SPN!AV334,EPN!AV334,SPD!AV334,SPMW!AV334,SSEH!AV334,SSES!AV334)</f>
        <v>1.1649107534890018E-2</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3.597317440422748E-4</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f>CHOOSE($B$3,ENWL!AR337,NPgN!AR337,NPgY!AR337,WMID!AR337,EMID!AR337,SWALES!AR337,SWEST!AR337,LPN!AR337,SPN!AR337,EPN!AR337,SPD!AR337,SPMW!AR337,SSEH!AR337,SSES!AR337)</f>
        <v>5.6242906644164876E-3</v>
      </c>
      <c r="AS337" s="508">
        <f>CHOOSE($B$3,ENWL!AS337,NPgN!AS337,NPgY!AS337,WMID!AS337,EMID!AS337,SWALES!AS337,SWEST!AS337,LPN!AS337,SPN!AS337,EPN!AS337,SPD!AS337,SPMW!AS337,SSEH!AS337,SSES!AS337)</f>
        <v>5.6245892722519694E-3</v>
      </c>
      <c r="AT337" s="508">
        <f>CHOOSE($B$3,ENWL!AT337,NPgN!AT337,NPgY!AT337,WMID!AT337,EMID!AT337,SWALES!AT337,SWEST!AT337,LPN!AT337,SPN!AT337,EPN!AT337,SPD!AT337,SPMW!AT337,SSEH!AT337,SSES!AT337)</f>
        <v>5.6250428172991253E-3</v>
      </c>
      <c r="AU337" s="508">
        <f>CHOOSE($B$3,ENWL!AU337,NPgN!AU337,NPgY!AU337,WMID!AU337,EMID!AU337,SWALES!AU337,SWEST!AU337,LPN!AU337,SPN!AU337,EPN!AU337,SPD!AU337,SPMW!AU337,SSEH!AU337,SSES!AU337)</f>
        <v>5.6254256159160038E-3</v>
      </c>
      <c r="AV337" s="508">
        <f>CHOOSE($B$3,ENWL!AV337,NPgN!AV337,NPgY!AV337,WMID!AV337,EMID!AV337,SWALES!AV337,SWEST!AV337,LPN!AV337,SPN!AV337,EPN!AV337,SPD!AV337,SPMW!AV337,SSEH!AV337,SSES!AV337)</f>
        <v>5.6259527200576724E-3</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f>CHOOSE($B$3,ENWL!AR342,NPgN!AR342,NPgY!AR342,WMID!AR342,EMID!AR342,SWALES!AR342,SWEST!AR342,LPN!AR342,SPN!AR342,EPN!AR342,SPD!AR342,SPMW!AR342,SSEH!AR342,SSES!AR342)</f>
        <v>-3.0346275290212947</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159.46104281673271</v>
      </c>
      <c r="AK343" s="476">
        <f>CHOOSE($B$3,ENWL!AK343,NPgN!AK343,NPgY!AK343,WMID!AK343,EMID!AK343,SWALES!AK343,SWEST!AK343,LPN!AK343,SPN!AK343,EPN!AK343,SPD!AK343,SPMW!AK343,SSEH!AK343,SSES!AK343)</f>
        <v>145.30428028833489</v>
      </c>
      <c r="AL343" s="476">
        <f>CHOOSE($B$3,ENWL!AL343,NPgN!AL343,NPgY!AL343,WMID!AL343,EMID!AL343,SWALES!AL343,SWEST!AL343,LPN!AL343,SPN!AL343,EPN!AL343,SPD!AL343,SPMW!AL343,SSEH!AL343,SSES!AL343)</f>
        <v>155.00188809981407</v>
      </c>
      <c r="AM343" s="476">
        <f>CHOOSE($B$3,ENWL!AM343,NPgN!AM343,NPgY!AM343,WMID!AM343,EMID!AM343,SWALES!AM343,SWEST!AM343,LPN!AM343,SPN!AM343,EPN!AM343,SPD!AM343,SPMW!AM343,SSEH!AM343,SSES!AM343)</f>
        <v>157.65089000047814</v>
      </c>
      <c r="AN343" s="476">
        <f>CHOOSE($B$3,ENWL!AN343,NPgN!AN343,NPgY!AN343,WMID!AN343,EMID!AN343,SWALES!AN343,SWEST!AN343,LPN!AN343,SPN!AN343,EPN!AN343,SPD!AN343,SPMW!AN343,SSEH!AN343,SSES!AN343)</f>
        <v>152.04141332579476</v>
      </c>
      <c r="AO343" s="476">
        <f>CHOOSE($B$3,ENWL!AO343,NPgN!AO343,NPgY!AO343,WMID!AO343,EMID!AO343,SWALES!AO343,SWEST!AO343,LPN!AO343,SPN!AO343,EPN!AO343,SPD!AO343,SPMW!AO343,SSEH!AO343,SSES!AO343)</f>
        <v>150.93723656742813</v>
      </c>
      <c r="AP343" s="476">
        <f>CHOOSE($B$3,ENWL!AP343,NPgN!AP343,NPgY!AP343,WMID!AP343,EMID!AP343,SWALES!AP343,SWEST!AP343,LPN!AP343,SPN!AP343,EPN!AP343,SPD!AP343,SPMW!AP343,SSEH!AP343,SSES!AP343)</f>
        <v>156.84191024562898</v>
      </c>
      <c r="AQ343" s="477">
        <f>CHOOSE($B$3,ENWL!AQ343,NPgN!AQ343,NPgY!AQ343,WMID!AQ343,EMID!AQ343,SWALES!AQ343,SWEST!AQ343,LPN!AQ343,SPN!AQ343,EPN!AQ343,SPD!AQ343,SPMW!AQ343,SSEH!AQ343,SSES!AQ343)</f>
        <v>154.0526392563298</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71.307668294850316</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628.2455801054839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f>CHOOSE($B$3,ENWL!AR347,NPgN!AR347,NPgY!AR347,WMID!AR347,EMID!AR347,SWALES!AR347,SWEST!AR347,LPN!AR347,SPN!AR347,EPN!AR347,SPD!AR347,SPMW!AR347,SSEH!AR347,SSES!AR347)</f>
        <v>1145.01039268363</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1428.7456461475876</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f>CHOOSE($B$3,ENWL!AR350,NPgN!AR350,NPgY!AR350,WMID!AR350,EMID!AR350,SWALES!AR350,SWEST!AR350,LPN!AR350,SPN!AR350,EPN!AR350,SPD!AR350,SPMW!AR350,SSEH!AR350,SSES!AR350)</f>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344.67962761908268</v>
      </c>
      <c r="AQ352" s="477">
        <f>CHOOSE($B$3,ENWL!AQ352,NPgN!AQ352,NPgY!AQ352,WMID!AQ352,EMID!AQ352,SWALES!AQ352,SWEST!AQ352,LPN!AQ352,SPN!AQ352,EPN!AQ352,SPD!AQ352,SPMW!AQ352,SSEH!AQ352,SSES!AQ352)</f>
        <v>330.52534860015589</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5">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415.26918895190363</v>
      </c>
      <c r="AK355" s="476">
        <f>CHOOSE($B$3,ENWL!AK355,NPgN!AK355,NPgY!AK355,WMID!AK355,EMID!AK355,SWALES!AK355,SWEST!AK355,LPN!AK355,SPN!AK355,EPN!AK355,SPD!AK355,SPMW!AK355,SSEH!AK355,SSES!AK355)</f>
        <v>452.07398720983605</v>
      </c>
      <c r="AL355" s="476">
        <f>CHOOSE($B$3,ENWL!AL355,NPgN!AL355,NPgY!AL355,WMID!AL355,EMID!AL355,SWALES!AL355,SWEST!AL355,LPN!AL355,SPN!AL355,EPN!AL355,SPD!AL355,SPMW!AL355,SSEH!AL355,SSES!AL355)</f>
        <v>394.40800000000002</v>
      </c>
      <c r="AM355" s="476">
        <f>CHOOSE($B$3,ENWL!AM355,NPgN!AM355,NPgY!AM355,WMID!AM355,EMID!AM355,SWALES!AM355,SWEST!AM355,LPN!AM355,SPN!AM355,EPN!AM355,SPD!AM355,SPMW!AM355,SSEH!AM355,SSES!AM355)</f>
        <v>413.89699999999999</v>
      </c>
      <c r="AN355" s="476">
        <f>CHOOSE($B$3,ENWL!AN355,NPgN!AN355,NPgY!AN355,WMID!AN355,EMID!AN355,SWALES!AN355,SWEST!AN355,LPN!AN355,SPN!AN355,EPN!AN355,SPD!AN355,SPMW!AN355,SSEH!AN355,SSES!AN355)</f>
        <v>438.33800000000002</v>
      </c>
      <c r="AO355" s="476">
        <f>CHOOSE($B$3,ENWL!AO355,NPgN!AO355,NPgY!AO355,WMID!AO355,EMID!AO355,SWALES!AO355,SWEST!AO355,LPN!AO355,SPN!AO355,EPN!AO355,SPD!AO355,SPMW!AO355,SSEH!AO355,SSES!AO355)</f>
        <v>410.62294568115544</v>
      </c>
      <c r="AP355" s="476">
        <f>CHOOSE($B$3,ENWL!AP355,NPgN!AP355,NPgY!AP355,WMID!AP355,EMID!AP355,SWALES!AP355,SWEST!AP355,LPN!AP355,SPN!AP355,EPN!AP355,SPD!AP355,SPMW!AP355,SSEH!AP355,SSES!AP355)</f>
        <v>428.28951999999998</v>
      </c>
      <c r="AQ355" s="477">
        <f>CHOOSE($B$3,ENWL!AQ355,NPgN!AQ355,NPgY!AQ355,WMID!AQ355,EMID!AQ355,SWALES!AQ355,SWEST!AQ355,LPN!AQ355,SPN!AQ355,EPN!AQ355,SPD!AQ355,SPMW!AQ355,SSEH!AQ355,SSES!AQ355)</f>
        <v>535.9583433900001</v>
      </c>
      <c r="AR355" s="184"/>
      <c r="AS355" s="184"/>
      <c r="AT355" s="184"/>
      <c r="AU355" s="184"/>
      <c r="AV355" s="184"/>
      <c r="AW355" s="184"/>
    </row>
    <row r="356" spans="1:49" ht="15">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404.59389821967591</v>
      </c>
      <c r="AK356" s="476">
        <f>CHOOSE($B$3,ENWL!AK356,NPgN!AK356,NPgY!AK356,WMID!AK356,EMID!AK356,SWALES!AK356,SWEST!AK356,LPN!AK356,SPN!AK356,EPN!AK356,SPD!AK356,SPMW!AK356,SSEH!AK356,SSES!AK356)</f>
        <v>448.0633651518184</v>
      </c>
      <c r="AL356" s="476">
        <f>CHOOSE($B$3,ENWL!AL356,NPgN!AL356,NPgY!AL356,WMID!AL356,EMID!AL356,SWALES!AL356,SWEST!AL356,LPN!AL356,SPN!AL356,EPN!AL356,SPD!AL356,SPMW!AL356,SSEH!AL356,SSES!AL356)</f>
        <v>398.70531750288188</v>
      </c>
      <c r="AM356" s="476">
        <f>CHOOSE($B$3,ENWL!AM356,NPgN!AM356,NPgY!AM356,WMID!AM356,EMID!AM356,SWALES!AM356,SWEST!AM356,LPN!AM356,SPN!AM356,EPN!AM356,SPD!AM356,SPMW!AM356,SSEH!AM356,SSES!AM356)</f>
        <v>414.63304060511632</v>
      </c>
      <c r="AN356" s="476">
        <f>CHOOSE($B$3,ENWL!AN356,NPgN!AN356,NPgY!AN356,WMID!AN356,EMID!AN356,SWALES!AN356,SWEST!AN356,LPN!AN356,SPN!AN356,EPN!AN356,SPD!AN356,SPMW!AN356,SSEH!AN356,SSES!AN356)</f>
        <v>428.93724226093093</v>
      </c>
      <c r="AO356" s="476">
        <f>CHOOSE($B$3,ENWL!AO356,NPgN!AO356,NPgY!AO356,WMID!AO356,EMID!AO356,SWALES!AO356,SWEST!AO356,LPN!AO356,SPN!AO356,EPN!AO356,SPD!AO356,SPMW!AO356,SSEH!AO356,SSES!AO356)</f>
        <v>432.055209499189</v>
      </c>
      <c r="AP356" s="476">
        <f>CHOOSE($B$3,ENWL!AP356,NPgN!AP356,NPgY!AP356,WMID!AP356,EMID!AP356,SWALES!AP356,SWEST!AP356,LPN!AP356,SPN!AP356,EPN!AP356,SPD!AP356,SPMW!AP356,SSEH!AP356,SSES!AP356)</f>
        <v>425.02235929678614</v>
      </c>
      <c r="AQ356" s="477">
        <f>CHOOSE($B$3,ENWL!AQ356,NPgN!AQ356,NPgY!AQ356,WMID!AQ356,EMID!AQ356,SWALES!AQ356,SWEST!AQ356,LPN!AQ356,SPN!AQ356,EPN!AQ356,SPD!AQ356,SPMW!AQ356,SSEH!AQ356,SSES!AQ356)</f>
        <v>546.11042786457949</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0.71767123287671231</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0.19289999999999999</v>
      </c>
      <c r="AQ357" s="477">
        <f>CHOOSE($B$3,ENWL!AQ357,NPgN!AQ357,NPgY!AQ357,WMID!AQ357,EMID!AQ357,SWALES!AQ357,SWEST!AQ357,LPN!AQ357,SPN!AQ357,EPN!AQ357,SPD!AQ357,SPMW!AQ357,SSEH!AQ357,SSES!AQ357)</f>
        <v>2.3034246575342463</v>
      </c>
      <c r="AR357" s="419">
        <f>CHOOSE($B$3,ENWL!AR357,NPgN!AR357,NPgY!AR357,WMID!AR357,EMID!AR357,SWALES!AR357,SWEST!AR357,LPN!AR357,SPN!AR357,EPN!AR357,SPD!AR357,SPMW!AR357,SSEH!AR357,SSES!AR357)</f>
        <v>0</v>
      </c>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2.3961429999999999E-2</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5">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0</v>
      </c>
      <c r="AK363" s="476">
        <f>CHOOSE($B$3,ENWL!AK363,NPgN!AK363,NPgY!AK363,WMID!AK363,EMID!AK363,SWALES!AK363,SWEST!AK363,LPN!AK363,SPN!AK363,EPN!AK363,SPD!AK363,SPMW!AK363,SSEH!AK363,SSES!AK363)</f>
        <v>0</v>
      </c>
      <c r="AL363" s="476">
        <f>CHOOSE($B$3,ENWL!AL363,NPgN!AL363,NPgY!AL363,WMID!AL363,EMID!AL363,SWALES!AL363,SWEST!AL363,LPN!AL363,SPN!AL363,EPN!AL363,SPD!AL363,SPMW!AL363,SSEH!AL363,SSES!AL363)</f>
        <v>0</v>
      </c>
      <c r="AM363" s="476">
        <f>CHOOSE($B$3,ENWL!AM363,NPgN!AM363,NPgY!AM363,WMID!AM363,EMID!AM363,SWALES!AM363,SWEST!AM363,LPN!AM363,SPN!AM363,EPN!AM363,SPD!AM363,SPMW!AM363,SSEH!AM363,SSES!AM363)</f>
        <v>0</v>
      </c>
      <c r="AN363" s="476">
        <f>CHOOSE($B$3,ENWL!AN363,NPgN!AN363,NPgY!AN363,WMID!AN363,EMID!AN363,SWALES!AN363,SWEST!AN363,LPN!AN363,SPN!AN363,EPN!AN363,SPD!AN363,SPMW!AN363,SSEH!AN363,SSES!AN363)</f>
        <v>0</v>
      </c>
      <c r="AO363" s="476">
        <f>CHOOSE($B$3,ENWL!AO363,NPgN!AO363,NPgY!AO363,WMID!AO363,EMID!AO363,SWALES!AO363,SWEST!AO363,LPN!AO363,SPN!AO363,EPN!AO363,SPD!AO363,SPMW!AO363,SSEH!AO363,SSES!AO363)</f>
        <v>0</v>
      </c>
      <c r="AP363" s="476">
        <f>CHOOSE($B$3,ENWL!AP363,NPgN!AP363,NPgY!AP363,WMID!AP363,EMID!AP363,SWALES!AP363,SWEST!AP363,LPN!AP363,SPN!AP363,EPN!AP363,SPD!AP363,SPMW!AP363,SSEH!AP363,SSES!AP363)</f>
        <v>0</v>
      </c>
      <c r="AQ363" s="477">
        <f>CHOOSE($B$3,ENWL!AQ363,NPgN!AQ363,NPgY!AQ363,WMID!AQ363,EMID!AQ363,SWALES!AQ363,SWEST!AQ363,LPN!AQ363,SPN!AQ363,EPN!AQ363,SPD!AQ363,SPMW!AQ363,SSEH!AQ363,SSES!AQ363)</f>
        <v>0</v>
      </c>
      <c r="AR363" s="184"/>
      <c r="AS363" s="184"/>
      <c r="AT363" s="184"/>
      <c r="AU363" s="184"/>
      <c r="AV363" s="184"/>
      <c r="AW363" s="184"/>
    </row>
    <row r="364" spans="1:49" ht="15">
      <c r="A364" s="82"/>
      <c r="B364" s="82"/>
      <c r="C364" s="82"/>
      <c r="D364" s="82"/>
      <c r="E364" s="363" t="s">
        <v>438</v>
      </c>
      <c r="F364" s="82"/>
      <c r="G364" s="82" t="s">
        <v>399</v>
      </c>
      <c r="H364" s="82" t="s">
        <v>439</v>
      </c>
      <c r="I364" s="476">
        <f>CHOOSE($B$3,ENWL!I364,NPgN!I364,NPgY!I364,WMID!I364,EMID!I364,SWALES!I364,SWEST!I364,LPN!I364,SPN!I364,EPN!I364,SPD!I364,SPMW!I364,SSEH!I364,SSES!I364)</f>
        <v>43.4</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2.4022697420249686</v>
      </c>
      <c r="AQ368" s="477">
        <f>CHOOSE($B$3,ENWL!AQ368,NPgN!AQ368,NPgY!AQ368,WMID!AQ368,EMID!AQ368,SWALES!AQ368,SWEST!AQ368,LPN!AQ368,SPN!AQ368,EPN!AQ368,SPD!AQ368,SPMW!AQ368,SSEH!AQ368,SSES!AQ368)</f>
        <v>2.7761772633747479</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0.1</v>
      </c>
      <c r="AQ370" s="477">
        <f>CHOOSE($B$3,ENWL!AQ370,NPgN!AQ370,NPgY!AQ370,WMID!AQ370,EMID!AQ370,SWALES!AQ370,SWEST!AQ370,LPN!AQ370,SPN!AQ370,EPN!AQ370,SPD!AQ370,SPMW!AQ370,SSEH!AQ370,SSES!AQ370)</f>
        <v>0.96</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13.223811536789343</v>
      </c>
      <c r="AQ372" s="477">
        <f>CHOOSE($B$3,ENWL!AQ372,NPgN!AQ372,NPgY!AQ372,WMID!AQ372,EMID!AQ372,SWALES!AQ372,SWEST!AQ372,LPN!AQ372,SPN!AQ372,EPN!AQ372,SPD!AQ372,SPMW!AQ372,SSEH!AQ372,SSES!AQ372)</f>
        <v>12.30038036064135</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-0.13030199999999997</v>
      </c>
      <c r="AQ374" s="477">
        <f>CHOOSE($B$3,ENWL!AQ374,NPgN!AQ374,NPgY!AQ374,WMID!AQ374,EMID!AQ374,SWALES!AQ374,SWEST!AQ374,LPN!AQ374,SPN!AQ374,EPN!AQ374,SPD!AQ374,SPMW!AQ374,SSEH!AQ374,SSES!AQ374)</f>
        <v>-0.12736799999999998</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0.3</v>
      </c>
      <c r="AQ378" s="477">
        <f>CHOOSE($B$3,ENWL!AQ378,NPgN!AQ378,NPgY!AQ378,WMID!AQ378,EMID!AQ378,SWALES!AQ378,SWEST!AQ378,LPN!AQ378,SPN!AQ378,EPN!AQ378,SPD!AQ378,SPMW!AQ378,SSEH!AQ378,SSES!AQ378)</f>
        <v>0.3</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0.3</v>
      </c>
      <c r="AQ379" s="477">
        <f>CHOOSE($B$3,ENWL!AQ379,NPgN!AQ379,NPgY!AQ379,WMID!AQ379,EMID!AQ379,SWALES!AQ379,SWEST!AQ379,LPN!AQ379,SPN!AQ379,EPN!AQ379,SPD!AQ379,SPMW!AQ379,SSEH!AQ379,SSES!AQ379)</f>
        <v>0.3</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0.29216897108190099</v>
      </c>
      <c r="AQ380" s="477">
        <f>CHOOSE($B$3,ENWL!AQ380,NPgN!AQ380,NPgY!AQ380,WMID!AQ380,EMID!AQ380,SWALES!AQ380,SWEST!AQ380,LPN!AQ380,SPN!AQ380,EPN!AQ380,SPD!AQ380,SPMW!AQ380,SSEH!AQ380,SSES!AQ380)</f>
        <v>0.3</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0.3</v>
      </c>
      <c r="AQ381" s="477">
        <f>CHOOSE($B$3,ENWL!AQ381,NPgN!AQ381,NPgY!AQ381,WMID!AQ381,EMID!AQ381,SWALES!AQ381,SWEST!AQ381,LPN!AQ381,SPN!AQ381,EPN!AQ381,SPD!AQ381,SPMW!AQ381,SSEH!AQ381,SSES!AQ381)</f>
        <v>0.3</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2.3656330080000001</v>
      </c>
      <c r="AQ385" s="477">
        <f>CHOOSE($B$3,ENWL!AQ385,NPgN!AQ385,NPgY!AQ385,WMID!AQ385,EMID!AQ385,SWALES!AQ385,SWEST!AQ385,LPN!AQ385,SPN!AQ385,EPN!AQ385,SPD!AQ385,SPMW!AQ385,SSEH!AQ385,SSES!AQ385)</f>
        <v>2.4858109989999999</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1.1000000000000001</v>
      </c>
      <c r="AQ386" s="477">
        <f>CHOOSE($B$3,ENWL!AQ386,NPgN!AQ386,NPgY!AQ386,WMID!AQ386,EMID!AQ386,SWALES!AQ386,SWEST!AQ386,LPN!AQ386,SPN!AQ386,EPN!AQ386,SPD!AQ386,SPMW!AQ386,SSEH!AQ386,SSES!AQ386)</f>
        <v>1.1000000000000001</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25.594880011000001</v>
      </c>
      <c r="AQ388" s="477">
        <f>CHOOSE($B$3,ENWL!AQ388,NPgN!AQ388,NPgY!AQ388,WMID!AQ388,EMID!AQ388,SWALES!AQ388,SWEST!AQ388,LPN!AQ388,SPN!AQ388,EPN!AQ388,SPD!AQ388,SPMW!AQ388,SSEH!AQ388,SSES!AQ388)</f>
        <v>25.594879986999999</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26.4</v>
      </c>
      <c r="AQ389" s="477">
        <f>CHOOSE($B$3,ENWL!AQ389,NPgN!AQ389,NPgY!AQ389,WMID!AQ389,EMID!AQ389,SWALES!AQ389,SWEST!AQ389,LPN!AQ389,SPN!AQ389,EPN!AQ389,SPD!AQ389,SPMW!AQ389,SSEH!AQ389,SSES!AQ389)</f>
        <v>26.7</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13.948872492000001</v>
      </c>
      <c r="AQ391" s="477">
        <f>CHOOSE($B$3,ENWL!AQ391,NPgN!AQ391,NPgY!AQ391,WMID!AQ391,EMID!AQ391,SWALES!AQ391,SWEST!AQ391,LPN!AQ391,SPN!AQ391,EPN!AQ391,SPD!AQ391,SPMW!AQ391,SSEH!AQ391,SSES!AQ391)</f>
        <v>14.123787138000001</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19.5</v>
      </c>
      <c r="AQ392" s="477">
        <f>CHOOSE($B$3,ENWL!AQ392,NPgN!AQ392,NPgY!AQ392,WMID!AQ392,EMID!AQ392,SWALES!AQ392,SWEST!AQ392,LPN!AQ392,SPN!AQ392,EPN!AQ392,SPD!AQ392,SPMW!AQ392,SSEH!AQ392,SSES!AQ392)</f>
        <v>22.9</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2.5358084989999998</v>
      </c>
      <c r="AQ394" s="477">
        <f>CHOOSE($B$3,ENWL!AQ394,NPgN!AQ394,NPgY!AQ394,WMID!AQ394,EMID!AQ394,SWALES!AQ394,SWEST!AQ394,LPN!AQ394,SPN!AQ394,EPN!AQ394,SPD!AQ394,SPMW!AQ394,SSEH!AQ394,SSES!AQ394)</f>
        <v>2.7987939959999997</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0.86189553348708203</v>
      </c>
      <c r="AQ397" s="477">
        <f>CHOOSE($B$3,ENWL!AQ397,NPgN!AQ397,NPgY!AQ397,WMID!AQ397,EMID!AQ397,SWALES!AQ397,SWEST!AQ397,LPN!AQ397,SPN!AQ397,EPN!AQ397,SPD!AQ397,SPMW!AQ397,SSEH!AQ397,SSES!AQ397)</f>
        <v>1.6924342891363591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0.85363316</v>
      </c>
      <c r="AQ412" s="477">
        <f>CHOOSE($B$3,ENWL!AQ412,NPgN!AQ412,NPgY!AQ412,WMID!AQ412,EMID!AQ412,SWALES!AQ412,SWEST!AQ412,LPN!AQ412,SPN!AQ412,EPN!AQ412,SPD!AQ412,SPMW!AQ412,SSEH!AQ412,SSES!AQ412)</f>
        <v>1.5563771399999808</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0.81328210400000012</v>
      </c>
      <c r="AP414" s="476">
        <f>CHOOSE($B$3,ENWL!AP414,NPgN!AP414,NPgY!AP414,WMID!AP414,EMID!AP414,SWALES!AP414,SWEST!AP414,LPN!AP414,SPN!AP414,EPN!AP414,SPD!AP414,SPMW!AP414,SSEH!AP414,SSES!AP414)</f>
        <v>2.8365642404999996</v>
      </c>
      <c r="AQ414" s="477">
        <f>CHOOSE($B$3,ENWL!AQ414,NPgN!AQ414,NPgY!AQ414,WMID!AQ414,EMID!AQ414,SWALES!AQ414,SWEST!AQ414,LPN!AQ414,SPN!AQ414,EPN!AQ414,SPD!AQ414,SPMW!AQ414,SSEH!AQ414,SSES!AQ414)</f>
        <v>-3.0351906999999838E-2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0</v>
      </c>
      <c r="AP415" s="476">
        <f>CHOOSE($B$3,ENWL!AP415,NPgN!AP415,NPgY!AP415,WMID!AP415,EMID!AP415,SWALES!AP415,SWEST!AP415,LPN!AP415,SPN!AP415,EPN!AP415,SPD!AP415,SPMW!AP415,SSEH!AP415,SSES!AP415)</f>
        <v>-0.15431398999999998</v>
      </c>
      <c r="AQ415" s="477">
        <f>CHOOSE($B$3,ENWL!AQ415,NPgN!AQ415,NPgY!AQ415,WMID!AQ415,EMID!AQ415,SWALES!AQ415,SWEST!AQ415,LPN!AQ415,SPN!AQ415,EPN!AQ415,SPD!AQ415,SPMW!AQ415,SSEH!AQ415,SSES!AQ415)</f>
        <v>-0.14489196000000001</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I234:I237">
    <cfRule type="cellIs" dxfId="444" priority="46" operator="equal">
      <formula>FALSE()</formula>
    </cfRule>
  </conditionalFormatting>
  <conditionalFormatting sqref="I364">
    <cfRule type="cellIs" dxfId="443" priority="18" operator="equal">
      <formula>FALSE()</formula>
    </cfRule>
  </conditionalFormatting>
  <conditionalFormatting sqref="K211:AQ217 AW211:AW217">
    <cfRule type="cellIs" dxfId="442" priority="43" operator="equal">
      <formula>FALSE()</formula>
    </cfRule>
  </conditionalFormatting>
  <conditionalFormatting sqref="K8:AW210">
    <cfRule type="cellIs" dxfId="441" priority="33" operator="equal">
      <formula>FALSE()</formula>
    </cfRule>
  </conditionalFormatting>
  <conditionalFormatting sqref="K218:AW420">
    <cfRule type="cellIs" dxfId="440" priority="1" operator="equal">
      <formula>FALSE()</formula>
    </cfRule>
  </conditionalFormatting>
  <conditionalFormatting sqref="AQ352:AQ353">
    <cfRule type="cellIs" dxfId="439" priority="21" operator="equal">
      <formula>FALSE()</formula>
    </cfRule>
  </conditionalFormatting>
  <conditionalFormatting sqref="AQ355:AQ358">
    <cfRule type="cellIs" dxfId="438" priority="20" operator="equal">
      <formula>FALSE()</formula>
    </cfRule>
  </conditionalFormatting>
  <conditionalFormatting sqref="AQ363">
    <cfRule type="cellIs" dxfId="437" priority="19" operator="equal">
      <formula>FALSE()</formula>
    </cfRule>
  </conditionalFormatting>
  <conditionalFormatting sqref="AQ368:AQ370">
    <cfRule type="cellIs" dxfId="436" priority="17" operator="equal">
      <formula>FALSE()</formula>
    </cfRule>
  </conditionalFormatting>
  <conditionalFormatting sqref="AQ372:AQ374">
    <cfRule type="cellIs" dxfId="435" priority="16" operator="equal">
      <formula>FALSE()</formula>
    </cfRule>
  </conditionalFormatting>
  <conditionalFormatting sqref="AQ378:AQ381">
    <cfRule type="cellIs" dxfId="434" priority="14" operator="equal">
      <formula>FALSE()</formula>
    </cfRule>
  </conditionalFormatting>
  <conditionalFormatting sqref="AQ385:AQ386">
    <cfRule type="cellIs" dxfId="433" priority="13" operator="equal">
      <formula>FALSE()</formula>
    </cfRule>
  </conditionalFormatting>
  <conditionalFormatting sqref="AQ388:AQ389">
    <cfRule type="cellIs" dxfId="432" priority="12" operator="equal">
      <formula>FALSE()</formula>
    </cfRule>
  </conditionalFormatting>
  <conditionalFormatting sqref="AQ391:AQ392">
    <cfRule type="cellIs" dxfId="431" priority="11" operator="equal">
      <formula>FALSE()</formula>
    </cfRule>
  </conditionalFormatting>
  <conditionalFormatting sqref="AQ394:AQ395">
    <cfRule type="cellIs" dxfId="430" priority="10" operator="equal">
      <formula>FALSE()</formula>
    </cfRule>
  </conditionalFormatting>
  <conditionalFormatting sqref="AQ397:AQ398">
    <cfRule type="cellIs" dxfId="429" priority="9" operator="equal">
      <formula>FALSE()</formula>
    </cfRule>
  </conditionalFormatting>
  <conditionalFormatting sqref="AQ400:AQ401">
    <cfRule type="cellIs" dxfId="428" priority="8" operator="equal">
      <formula>FALSE()</formula>
    </cfRule>
  </conditionalFormatting>
  <conditionalFormatting sqref="AQ403:AQ404">
    <cfRule type="cellIs" dxfId="427" priority="7" operator="equal">
      <formula>FALSE()</formula>
    </cfRule>
  </conditionalFormatting>
  <conditionalFormatting sqref="AQ406:AQ407">
    <cfRule type="cellIs" dxfId="426" priority="6" operator="equal">
      <formula>FALSE()</formula>
    </cfRule>
  </conditionalFormatting>
  <conditionalFormatting sqref="AQ409:AQ410">
    <cfRule type="cellIs" dxfId="425" priority="5" operator="equal">
      <formula>FALSE()</formula>
    </cfRule>
  </conditionalFormatting>
  <conditionalFormatting sqref="AQ412">
    <cfRule type="cellIs" dxfId="424" priority="4" operator="equal">
      <formula>FALSE()</formula>
    </cfRule>
  </conditionalFormatting>
  <conditionalFormatting sqref="AQ414:AQ415">
    <cfRule type="cellIs" dxfId="423" priority="3" operator="equal">
      <formula>FALSE()</formula>
    </cfRule>
  </conditionalFormatting>
  <conditionalFormatting sqref="AQ417:AQ419">
    <cfRule type="cellIs" dxfId="422" priority="2" operator="equal">
      <formula>FALSE()</formula>
    </cfRule>
  </conditionalFormatting>
  <conditionalFormatting sqref="AR211:AV211">
    <cfRule type="cellIs" dxfId="421" priority="42" operator="equal">
      <formula>FALSE()</formula>
    </cfRule>
  </conditionalFormatting>
  <conditionalFormatting sqref="AR213:AV217">
    <cfRule type="cellIs" dxfId="420"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80"/>
  <sheetViews>
    <sheetView zoomScale="85" zoomScaleNormal="85" workbookViewId="0">
      <selection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80"/>
  <sheetViews>
    <sheetView zoomScale="85" zoomScaleNormal="85" workbookViewId="0">
      <pane xSplit="10" ySplit="4" topLeftCell="K196" activePane="bottomRight" state="frozen"/>
      <selection activeCell="E4" sqref="E4"/>
      <selection pane="topRight" activeCell="E4" sqref="E4"/>
      <selection pane="bottomLeft" activeCell="E4" sqref="E4"/>
      <selection pane="bottomRight" activeCell="E4" sqref="E4"/>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M227" activePane="bottomRight" state="frozen"/>
      <selection pane="topRight" activeCell="K1" sqref="K1"/>
      <selection pane="bottomLeft" activeCell="A5" sqref="A5"/>
      <selection pane="bottomRight" activeCell="AT250" sqref="AT250"/>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541</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5">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20.02</v>
      </c>
      <c r="AS31" s="30">
        <f>SelectedInputs!AS15</f>
        <v>31.41</v>
      </c>
      <c r="AT31" s="30">
        <f>SelectedInputs!AT15</f>
        <v>26.99</v>
      </c>
      <c r="AU31" s="30">
        <f>SelectedInputs!AU15</f>
        <v>16.87</v>
      </c>
      <c r="AV31" s="30">
        <f>SelectedInputs!AV15</f>
        <v>17.5</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39.53</v>
      </c>
      <c r="AS32" s="30">
        <f>SelectedInputs!AS16</f>
        <v>40.75</v>
      </c>
      <c r="AT32" s="30">
        <f>SelectedInputs!AT16</f>
        <v>44.32</v>
      </c>
      <c r="AU32" s="30">
        <f>SelectedInputs!AU16</f>
        <v>41.74</v>
      </c>
      <c r="AV32" s="30">
        <f>SelectedInputs!AV16</f>
        <v>40.33</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41.7</v>
      </c>
      <c r="AS33" s="30">
        <f>SelectedInputs!AS17</f>
        <v>34.9</v>
      </c>
      <c r="AT33" s="30">
        <f>SelectedInputs!AT17</f>
        <v>31.91</v>
      </c>
      <c r="AU33" s="30">
        <f>SelectedInputs!AU17</f>
        <v>18.78</v>
      </c>
      <c r="AV33" s="30">
        <f>SelectedInputs!AV17</f>
        <v>15.87</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28.57</v>
      </c>
      <c r="AS34" s="30">
        <f>SelectedInputs!AS18</f>
        <v>28.55</v>
      </c>
      <c r="AT34" s="30">
        <f>SelectedInputs!AT18</f>
        <v>29.45</v>
      </c>
      <c r="AU34" s="30">
        <f>SelectedInputs!AU18</f>
        <v>30.05</v>
      </c>
      <c r="AV34" s="30">
        <f>SelectedInputs!AV18</f>
        <v>29.9</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5.43</v>
      </c>
      <c r="AS35" s="30">
        <f>SelectedInputs!AS19</f>
        <v>5.42</v>
      </c>
      <c r="AT35" s="30">
        <f>SelectedInputs!AT19</f>
        <v>5.4</v>
      </c>
      <c r="AU35" s="30">
        <f>SelectedInputs!AU19</f>
        <v>5.28</v>
      </c>
      <c r="AV35" s="30">
        <f>SelectedInputs!AV19</f>
        <v>5.2</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15.4</v>
      </c>
      <c r="AS36" s="30">
        <f>SelectedInputs!AS20</f>
        <v>15.34</v>
      </c>
      <c r="AT36" s="30">
        <f>SelectedInputs!AT20</f>
        <v>15.24</v>
      </c>
      <c r="AU36" s="30">
        <f>SelectedInputs!AU20</f>
        <v>14.92</v>
      </c>
      <c r="AV36" s="30">
        <f>SelectedInputs!AV20</f>
        <v>14.69</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117.34</v>
      </c>
      <c r="AS37" s="30">
        <f>SelectedInputs!AS21</f>
        <v>116.53</v>
      </c>
      <c r="AT37" s="30">
        <f>SelectedInputs!AT21</f>
        <v>113.8</v>
      </c>
      <c r="AU37" s="30">
        <f>SelectedInputs!AU21</f>
        <v>113.02</v>
      </c>
      <c r="AV37" s="30">
        <f>SelectedInputs!AV21</f>
        <v>111.48</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AR313</f>
        <v>14.625576415086035</v>
      </c>
      <c r="AS41" s="7">
        <f t="shared" si="7"/>
        <v>14.785315144479158</v>
      </c>
      <c r="AT41" s="7">
        <f t="shared" si="7"/>
        <v>14.952429008493597</v>
      </c>
      <c r="AU41" s="7">
        <f t="shared" si="7"/>
        <v>15.077780904282005</v>
      </c>
      <c r="AV41" s="7">
        <f t="shared" si="7"/>
        <v>15.272576676319147</v>
      </c>
      <c r="AW41" s="285"/>
    </row>
    <row r="42" spans="1:49" ht="15">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42.024071288750854</v>
      </c>
      <c r="AS42" s="7">
        <f t="shared" si="7"/>
        <v>42.439287863970414</v>
      </c>
      <c r="AT42" s="7">
        <f t="shared" si="7"/>
        <v>44.4310627367488</v>
      </c>
      <c r="AU42" s="7">
        <f t="shared" si="7"/>
        <v>43.549075646927911</v>
      </c>
      <c r="AV42" s="7">
        <f t="shared" si="7"/>
        <v>41.86074301294471</v>
      </c>
    </row>
    <row r="43" spans="1:49" ht="15">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3.3312448603675713</v>
      </c>
      <c r="AS43" s="7">
        <f t="shared" si="7"/>
        <v>6.4289098296974476</v>
      </c>
      <c r="AT43" s="7">
        <f t="shared" si="7"/>
        <v>6.3220649148618673</v>
      </c>
      <c r="AU43" s="7">
        <f t="shared" si="7"/>
        <v>10.100373896835031</v>
      </c>
      <c r="AV43" s="7">
        <f t="shared" si="7"/>
        <v>8.2139934691477627</v>
      </c>
    </row>
    <row r="44" spans="1:49" ht="15">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-0.24816496262440188</v>
      </c>
      <c r="AS44" s="7">
        <f t="shared" si="7"/>
        <v>2.7873168331643279E-2</v>
      </c>
      <c r="AT44" s="7">
        <f t="shared" si="7"/>
        <v>0.30973226850076352</v>
      </c>
      <c r="AU44" s="7">
        <f t="shared" si="7"/>
        <v>0.55862991863498901</v>
      </c>
      <c r="AV44" s="7">
        <f t="shared" si="7"/>
        <v>0.82287402830360579</v>
      </c>
    </row>
    <row r="45" spans="1:49" ht="15">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-4.527333777607332E-2</v>
      </c>
      <c r="AS45" s="7">
        <f t="shared" si="7"/>
        <v>5.0849698983403283E-3</v>
      </c>
      <c r="AT45" s="7">
        <f t="shared" si="7"/>
        <v>5.6505211145409559E-2</v>
      </c>
      <c r="AU45" s="7">
        <f t="shared" si="7"/>
        <v>0.10191221488611288</v>
      </c>
      <c r="AV45" s="7">
        <f t="shared" si="7"/>
        <v>0.15011891056890106</v>
      </c>
    </row>
    <row r="46" spans="1:49" ht="15">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-0.12802886653548007</v>
      </c>
      <c r="AS46" s="7">
        <f t="shared" si="7"/>
        <v>1.4379830700170048E-2</v>
      </c>
      <c r="AT46" s="7">
        <f t="shared" si="7"/>
        <v>0.1597915791425929</v>
      </c>
      <c r="AU46" s="7">
        <f t="shared" si="7"/>
        <v>0.28819844082458929</v>
      </c>
      <c r="AV46" s="7">
        <f t="shared" si="7"/>
        <v>0.42452257575395552</v>
      </c>
    </row>
    <row r="47" spans="1:49" ht="15">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4.1501926191838354</v>
      </c>
      <c r="AS47" s="7">
        <f t="shared" si="7"/>
        <v>4.5322954631870669</v>
      </c>
      <c r="AT47" s="7">
        <f t="shared" si="7"/>
        <v>4.9078498368550418</v>
      </c>
      <c r="AU47" s="7">
        <f t="shared" si="7"/>
        <v>4.7106090702309178</v>
      </c>
      <c r="AV47" s="7">
        <f t="shared" si="7"/>
        <v>5.7551961432406396</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AR322</f>
        <v>13.675886457475087</v>
      </c>
      <c r="AS51" s="7">
        <f t="shared" si="8"/>
        <v>16.326554801999361</v>
      </c>
      <c r="AT51" s="7">
        <f t="shared" si="8"/>
        <v>34.739083148252014</v>
      </c>
      <c r="AU51" s="7">
        <f t="shared" si="8"/>
        <v>44.031150401452457</v>
      </c>
      <c r="AV51" s="7">
        <f t="shared" si="8"/>
        <v>53.566562860618809</v>
      </c>
    </row>
    <row r="52" spans="1:48" ht="15">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5.3283978029029573</v>
      </c>
      <c r="AS52" s="7">
        <f t="shared" si="8"/>
        <v>9.4174192221270534</v>
      </c>
      <c r="AT52" s="7">
        <f t="shared" si="8"/>
        <v>13.547138299475733</v>
      </c>
      <c r="AU52" s="7">
        <f t="shared" si="8"/>
        <v>13.190733830866995</v>
      </c>
      <c r="AV52" s="7">
        <f t="shared" si="8"/>
        <v>13.035180250494065</v>
      </c>
    </row>
    <row r="53" spans="1:48" ht="15">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6.2</v>
      </c>
      <c r="AS53" s="7">
        <f t="shared" si="8"/>
        <v>3.5757591578334003</v>
      </c>
      <c r="AT53" s="7">
        <f t="shared" si="8"/>
        <v>2.0931619895870548</v>
      </c>
      <c r="AU53" s="7">
        <f t="shared" si="8"/>
        <v>1.6215564051016722</v>
      </c>
      <c r="AV53" s="7">
        <f t="shared" si="8"/>
        <v>1.1749211141363789</v>
      </c>
    </row>
    <row r="54" spans="1:48" ht="15">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3.8956539780320681E-2</v>
      </c>
      <c r="AT54" s="7">
        <f t="shared" si="8"/>
        <v>3.5528364279652456</v>
      </c>
      <c r="AU54" s="7">
        <f t="shared" si="8"/>
        <v>4.0203149053290943</v>
      </c>
      <c r="AV54" s="7">
        <f t="shared" si="8"/>
        <v>12.318057878537399</v>
      </c>
    </row>
    <row r="55" spans="1:48" ht="15">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6.8359296310805924</v>
      </c>
      <c r="AS57" s="7">
        <f t="shared" si="8"/>
        <v>5.3879278508393451</v>
      </c>
      <c r="AT57" s="7">
        <f t="shared" si="8"/>
        <v>6.8574644673089402</v>
      </c>
      <c r="AU57" s="7">
        <f t="shared" si="8"/>
        <v>7.3412065771710253</v>
      </c>
      <c r="AV57" s="7">
        <f t="shared" si="8"/>
        <v>8.0016321212820269</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24.749470504918811</v>
      </c>
      <c r="AS61" s="8">
        <f>SelectedInputs!AS126</f>
        <v>56.218596179455034</v>
      </c>
      <c r="AT61" s="8">
        <f>SelectedInputs!AT126</f>
        <v>41.975765863528736</v>
      </c>
      <c r="AU61" s="8">
        <f>SelectedInputs!AU126</f>
        <v>31.870564315112517</v>
      </c>
      <c r="AV61" s="8">
        <f>SelectedInputs!AV126</f>
        <v>32.705033768168164</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61.571399470284348</v>
      </c>
      <c r="AS62" s="8">
        <f>SelectedInputs!AS127</f>
        <v>77.627001789921152</v>
      </c>
      <c r="AT62" s="8">
        <f>SelectedInputs!AT127</f>
        <v>89.13515767610177</v>
      </c>
      <c r="AU62" s="8">
        <f>SelectedInputs!AU127</f>
        <v>97.554682164373958</v>
      </c>
      <c r="AV62" s="8">
        <f>SelectedInputs!AV127</f>
        <v>93.814685979993811</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34.996172735871681</v>
      </c>
      <c r="AS63" s="8">
        <f>SelectedInputs!AS128</f>
        <v>38.843885299746688</v>
      </c>
      <c r="AT63" s="8">
        <f>SelectedInputs!AT128</f>
        <v>38.558717256420906</v>
      </c>
      <c r="AU63" s="8">
        <f>SelectedInputs!AU128</f>
        <v>31.211406685727638</v>
      </c>
      <c r="AV63" s="8">
        <f>SelectedInputs!AV128</f>
        <v>26.127254339102397</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28.902803686529925</v>
      </c>
      <c r="AS64" s="8">
        <f>SelectedInputs!AS129</f>
        <v>29.143169208271821</v>
      </c>
      <c r="AT64" s="8">
        <f>SelectedInputs!AT129</f>
        <v>30.348755187720009</v>
      </c>
      <c r="AU64" s="8">
        <f>SelectedInputs!AU129</f>
        <v>31.266603040578239</v>
      </c>
      <c r="AV64" s="8">
        <f>SelectedInputs!AV129</f>
        <v>31.427628083482336</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5.4933536209762854</v>
      </c>
      <c r="AS65" s="8">
        <f>SelectedInputs!AS130</f>
        <v>5.5344202968291825</v>
      </c>
      <c r="AT65" s="8">
        <f>SelectedInputs!AT130</f>
        <v>5.5691940758123835</v>
      </c>
      <c r="AU65" s="8">
        <f>SelectedInputs!AU130</f>
        <v>5.4951738695044305</v>
      </c>
      <c r="AV65" s="8">
        <f>SelectedInputs!AV130</f>
        <v>5.4611675950459775</v>
      </c>
    </row>
    <row r="66" spans="1:48" ht="15">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14.548204838695739</v>
      </c>
      <c r="AS66" s="8">
        <f>SelectedInputs!AS131</f>
        <v>15.268458777090785</v>
      </c>
      <c r="AT66" s="8">
        <f>SelectedInputs!AT131</f>
        <v>15.469376571377039</v>
      </c>
      <c r="AU66" s="8">
        <f>SelectedInputs!AU131</f>
        <v>15.583631272058838</v>
      </c>
      <c r="AV66" s="8">
        <f>SelectedInputs!AV131</f>
        <v>15.587255036858997</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117.9379716643452</v>
      </c>
      <c r="AS67" s="8">
        <f>SelectedInputs!AS132</f>
        <v>117.7610772905749</v>
      </c>
      <c r="AT67" s="8">
        <f>SelectedInputs!AT132</f>
        <v>119.3093587107489</v>
      </c>
      <c r="AU67" s="8">
        <f>SelectedInputs!AU132</f>
        <v>119.48930737611947</v>
      </c>
      <c r="AV67" s="8">
        <f>SelectedInputs!AV132</f>
        <v>120.09616618132007</v>
      </c>
    </row>
    <row r="68" spans="1:48" ht="15">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288.19937652162196</v>
      </c>
      <c r="AS68" s="526">
        <f>SUM(AS61:AS67)</f>
        <v>340.39660884188953</v>
      </c>
      <c r="AT68" s="526">
        <f>SUM(AT61:AT67)</f>
        <v>340.36632534170974</v>
      </c>
      <c r="AU68" s="526">
        <f>SUM(AU61:AU67)</f>
        <v>332.47136872347511</v>
      </c>
      <c r="AV68" s="526">
        <f>SUM(AV61:AV67)</f>
        <v>325.21919098397177</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14.680947141749266</v>
      </c>
      <c r="AS72" s="8">
        <f>SelectedInputs!AS135</f>
        <v>17.32433129465927</v>
      </c>
      <c r="AT72" s="8">
        <f>SelectedInputs!AT135</f>
        <v>35.703708871658762</v>
      </c>
      <c r="AU72" s="8">
        <f>SelectedInputs!AU135</f>
        <v>45.084420276836113</v>
      </c>
      <c r="AV72" s="8">
        <f>SelectedInputs!AV135</f>
        <v>54.686707130714382</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4.7505189151546565</v>
      </c>
      <c r="AS73" s="8">
        <f>SelectedInputs!AS136</f>
        <v>8.381396778207499</v>
      </c>
      <c r="AT73" s="8">
        <f>SelectedInputs!AT136</f>
        <v>12.336862423013248</v>
      </c>
      <c r="AU73" s="8">
        <f>SelectedInputs!AU136</f>
        <v>11.577874525915727</v>
      </c>
      <c r="AV73" s="8">
        <f>SelectedInputs!AV136</f>
        <v>11.25516331138849</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6.2</v>
      </c>
      <c r="AS74" s="8">
        <f>SelectedInputs!AS137</f>
        <v>3.5757591578334003</v>
      </c>
      <c r="AT74" s="8">
        <f>SelectedInputs!AT137</f>
        <v>2.0931619895870548</v>
      </c>
      <c r="AU74" s="8">
        <f>SelectedInputs!AU137</f>
        <v>1.6215564051016722</v>
      </c>
      <c r="AV74" s="8">
        <f>SelectedInputs!AV137</f>
        <v>1.1749211141363789</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3.8956539780320681E-2</v>
      </c>
      <c r="AT75" s="8">
        <f>SelectedInputs!AT138</f>
        <v>3.5528364279652456</v>
      </c>
      <c r="AU75" s="8">
        <f>SelectedInputs!AU138</f>
        <v>4.0203149053290943</v>
      </c>
      <c r="AV75" s="8">
        <f>SelectedInputs!AV138</f>
        <v>12.318057878537399</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5.9228182034741224</v>
      </c>
      <c r="AS78" s="8">
        <f>SelectedInputs!AS141</f>
        <v>4.6640051090930461</v>
      </c>
      <c r="AT78" s="8">
        <f>SelectedInputs!AT141</f>
        <v>4.367430530677245</v>
      </c>
      <c r="AU78" s="8">
        <f>SelectedInputs!AU141</f>
        <v>4.1697642227037326</v>
      </c>
      <c r="AV78" s="8">
        <f>SelectedInputs!AV141</f>
        <v>3.923412171180833</v>
      </c>
    </row>
    <row r="79" spans="1:48" ht="15">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31.554284260378044</v>
      </c>
      <c r="AS79" s="526">
        <f>SUM(AS72:AS78)</f>
        <v>33.984448879573534</v>
      </c>
      <c r="AT79" s="526">
        <f>SUM(AT72:AT78)</f>
        <v>58.054000242901552</v>
      </c>
      <c r="AU79" s="526">
        <f>SUM(AU72:AU78)</f>
        <v>66.473930335886337</v>
      </c>
      <c r="AV79" s="526">
        <f>SUM(AV72:AV78)</f>
        <v>83.35826160595748</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2.2735240796708363</v>
      </c>
      <c r="AS83" s="8">
        <f>SelectedInputs!AS145</f>
        <v>2.4655116139045727</v>
      </c>
      <c r="AT83" s="8">
        <f>SelectedInputs!AT145</f>
        <v>2.6856080674969047</v>
      </c>
      <c r="AU83" s="8">
        <f>SelectedInputs!AU145</f>
        <v>2.9117244873401469</v>
      </c>
      <c r="AV83" s="8">
        <f>SelectedInputs!AV145</f>
        <v>3.1277664722150349</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23.337716072506659</v>
      </c>
      <c r="AS84" s="8">
        <f>SelectedInputs!AS146</f>
        <v>25.48016950535095</v>
      </c>
      <c r="AT84" s="8">
        <f>SelectedInputs!AT146</f>
        <v>26.01164804846783</v>
      </c>
      <c r="AU84" s="8">
        <f>SelectedInputs!AU146</f>
        <v>26.314388661676873</v>
      </c>
      <c r="AV84" s="8">
        <f>SelectedInputs!AV146</f>
        <v>26.43090615352607</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14.683403384753909</v>
      </c>
      <c r="AS85" s="8">
        <f>SelectedInputs!AS147</f>
        <v>14.789754689117771</v>
      </c>
      <c r="AT85" s="8">
        <f>SelectedInputs!AT147</f>
        <v>14.118321367776787</v>
      </c>
      <c r="AU85" s="8">
        <f>SelectedInputs!AU147</f>
        <v>13.857273899939777</v>
      </c>
      <c r="AV85" s="8">
        <f>SelectedInputs!AV147</f>
        <v>13.755774221985543</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2.4259171580012855</v>
      </c>
      <c r="AS86" s="8">
        <f>SelectedInputs!AS148</f>
        <v>2.5544029770445507</v>
      </c>
      <c r="AT86" s="8">
        <f>SelectedInputs!AT148</f>
        <v>2.6434601746982054</v>
      </c>
      <c r="AU86" s="8">
        <f>SelectedInputs!AU148</f>
        <v>2.7153684147863908</v>
      </c>
      <c r="AV86" s="8">
        <f>SelectedInputs!AV148</f>
        <v>2.8513641907101754</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1.3252921411428575</v>
      </c>
      <c r="AS87" s="8">
        <f>SelectedInputs!AS149</f>
        <v>2.5673795441591727</v>
      </c>
      <c r="AT87" s="8">
        <f>SelectedInputs!AT149</f>
        <v>1.1840340559115401</v>
      </c>
      <c r="AU87" s="8">
        <f>SelectedInputs!AU149</f>
        <v>1.1978376333088614</v>
      </c>
      <c r="AV87" s="8">
        <f>SelectedInputs!AV149</f>
        <v>1.2031183458591979</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17.025248309772881</v>
      </c>
      <c r="AS89" s="8">
        <f>SelectedInputs!AS151</f>
        <v>0.53033777885688127</v>
      </c>
      <c r="AT89" s="8">
        <f>SelectedInputs!AT151</f>
        <v>0</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0</v>
      </c>
      <c r="AS90" s="8">
        <f>SelectedInputs!AS152</f>
        <v>0</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-7.2817562255393451</v>
      </c>
      <c r="AT91" s="30">
        <f>SelectedInputs!AT153</f>
        <v>0</v>
      </c>
      <c r="AU91" s="30">
        <f>SelectedInputs!AU153</f>
        <v>0</v>
      </c>
      <c r="AV91" s="30">
        <f>SelectedInputs!AV153</f>
        <v>0</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61.071101145848431</v>
      </c>
      <c r="AS97" s="431">
        <f>SUM(AS83:AS91,AS93)-(AS92+AS94)+SUM(AS95:AS96)</f>
        <v>41.105799882894559</v>
      </c>
      <c r="AT97" s="431">
        <f>SUM(AT83:AT91,AT93)-(AT92+AT94)+SUM(AT95:AT96)</f>
        <v>46.643071714351265</v>
      </c>
      <c r="AU97" s="431">
        <f>SUM(AU83:AU91,AU93)-(AU92+AU94)+SUM(AU95:AU96)</f>
        <v>46.996593097052049</v>
      </c>
      <c r="AV97" s="431">
        <f>SUM(AV83:AV91,AV93)-(AV92+AV94)+SUM(AV95:AV96)</f>
        <v>47.368929384296024</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0.78264189999999978</v>
      </c>
      <c r="AS101" s="465">
        <f>SelectedInputs!AS162</f>
        <v>0.90005189999999979</v>
      </c>
      <c r="AT101" s="465">
        <f>SelectedInputs!AT162</f>
        <v>1.0799288999999999</v>
      </c>
      <c r="AU101" s="465">
        <f>SelectedInputs!AU162</f>
        <v>1.1690358999999999</v>
      </c>
      <c r="AV101" s="465">
        <f>SelectedInputs!AV162</f>
        <v>1.2162178999999997</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0.83944000000000074</v>
      </c>
      <c r="AS102" s="465">
        <f>SelectedInputs!AS163</f>
        <v>1.7838099999999995</v>
      </c>
      <c r="AT102" s="465">
        <f>SelectedInputs!AT163</f>
        <v>2.3084600000000068</v>
      </c>
      <c r="AU102" s="465">
        <f>SelectedInputs!AU163</f>
        <v>2.6232500000000001</v>
      </c>
      <c r="AV102" s="465">
        <f>SelectedInputs!AV163</f>
        <v>2.7281800000000165</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0.2409847004333299</v>
      </c>
      <c r="AS103" s="465">
        <f>SelectedInputs!AS164</f>
        <v>1.9787226510486624</v>
      </c>
      <c r="AT103" s="465">
        <f>SelectedInputs!AT164</f>
        <v>2.2207209823044827</v>
      </c>
      <c r="AU103" s="465">
        <f>SelectedInputs!AU164</f>
        <v>2.4987366846841641</v>
      </c>
      <c r="AV103" s="465">
        <f>SelectedInputs!AV164</f>
        <v>2.9051694526791048</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1.8148399999999996</v>
      </c>
      <c r="AT105" s="465">
        <f>SelectedInputs!AT166</f>
        <v>0</v>
      </c>
      <c r="AU105" s="465">
        <f>SelectedInputs!AU166</f>
        <v>0</v>
      </c>
      <c r="AV105" s="465">
        <f>SelectedInputs!AV166</f>
        <v>2.9705560000000002</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v>
      </c>
      <c r="AS106" s="465">
        <f>SelectedInputs!AS167</f>
        <v>1.1801999999999992</v>
      </c>
      <c r="AT106" s="465">
        <f>SelectedInputs!AT167</f>
        <v>1.5672499999999996</v>
      </c>
      <c r="AU106" s="465">
        <f>SelectedInputs!AU167</f>
        <v>1.7703000000000007</v>
      </c>
      <c r="AV106" s="465">
        <f>SelectedInputs!AV167</f>
        <v>2.2525499999999989</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0.49</v>
      </c>
      <c r="AS107" s="465">
        <f>SelectedInputs!AS168</f>
        <v>0.58799999999999963</v>
      </c>
      <c r="AT107" s="465">
        <f>SelectedInputs!AT168</f>
        <v>0.68599999999999928</v>
      </c>
      <c r="AU107" s="465">
        <f>SelectedInputs!AU168</f>
        <v>0.78399999999999981</v>
      </c>
      <c r="AV107" s="465">
        <f>SelectedInputs!AV168</f>
        <v>0.78399999999999981</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2.3530666004333303</v>
      </c>
      <c r="AS111" s="467">
        <f>SUM(AS101:AS110)</f>
        <v>8.2456245510486603</v>
      </c>
      <c r="AT111" s="467">
        <f>SUM(AT101:AT110)</f>
        <v>7.8623598823044878</v>
      </c>
      <c r="AU111" s="467">
        <f>SUM(AU101:AU110)</f>
        <v>8.8453225846841654</v>
      </c>
      <c r="AV111" s="467">
        <f>SUM(AV101:AV110)</f>
        <v>12.85667335267912</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1.6800000000000002</v>
      </c>
      <c r="AS117" s="7">
        <f>SelectedInputs!AS177</f>
        <v>1.6800000000000002</v>
      </c>
      <c r="AT117" s="7">
        <f>SelectedInputs!AT177</f>
        <v>1.6800000000000002</v>
      </c>
      <c r="AU117" s="7">
        <f>SelectedInputs!AU177</f>
        <v>1.6800000000000002</v>
      </c>
      <c r="AV117" s="7">
        <f>SelectedInputs!AV177</f>
        <v>1.6799999999999997</v>
      </c>
    </row>
    <row r="118" spans="1:48" ht="15">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v>
      </c>
      <c r="AS118" s="7">
        <f>SelectedInputs!AS178</f>
        <v>0</v>
      </c>
      <c r="AT118" s="7">
        <f>SelectedInputs!AT178</f>
        <v>0</v>
      </c>
      <c r="AU118" s="7">
        <f>SelectedInputs!AU178</f>
        <v>0</v>
      </c>
      <c r="AV118" s="7">
        <f>SelectedInputs!AV178</f>
        <v>0</v>
      </c>
    </row>
    <row r="119" spans="1:48" ht="15">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574</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1.6800000000000002</v>
      </c>
      <c r="AS123" s="526">
        <f>SUM(AS117:AS122)</f>
        <v>1.6800000000000002</v>
      </c>
      <c r="AT123" s="526">
        <f>SUM(AT117:AT122)</f>
        <v>1.6800000000000002</v>
      </c>
      <c r="AU123" s="526">
        <f>SUM(AU117:AU122)</f>
        <v>1.6800000000000002</v>
      </c>
      <c r="AV123" s="526">
        <f>SUM(AV117:AV122)</f>
        <v>1.6799999999999997</v>
      </c>
    </row>
    <row r="124" spans="1:48" ht="15">
      <c r="A124" s="94"/>
      <c r="B124" s="2"/>
      <c r="C124" s="194"/>
      <c r="D124" s="194"/>
      <c r="E124" s="13" t="s">
        <v>575</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-1.8666664800000001</v>
      </c>
      <c r="AS124" s="30">
        <f xml:space="preserve"> - SUMPRODUCT($I$117:$I$119,AS117:AS119)</f>
        <v>-1.8666664800000001</v>
      </c>
      <c r="AT124" s="30">
        <f xml:space="preserve"> - SUMPRODUCT($I$117:$I$119,AT117:AT119)</f>
        <v>-1.8666664800000001</v>
      </c>
      <c r="AU124" s="30">
        <f xml:space="preserve"> - SUMPRODUCT($I$117:$I$119,AU117:AU119)</f>
        <v>-1.8666664800000001</v>
      </c>
      <c r="AV124" s="30">
        <f xml:space="preserve"> - SUMPRODUCT($I$117:$I$119,AV117:AV119)</f>
        <v>-1.8666664799999997</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0</v>
      </c>
      <c r="AS129" s="8">
        <f>SelectedInputs!AS191</f>
        <v>0</v>
      </c>
      <c r="AT129" s="8">
        <f>SelectedInputs!AT191</f>
        <v>0</v>
      </c>
      <c r="AU129" s="8">
        <f>SelectedInputs!AU191</f>
        <v>0</v>
      </c>
      <c r="AV129" s="8">
        <f>SelectedInputs!AV191</f>
        <v>0</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0</v>
      </c>
      <c r="AS130" s="8">
        <f>SelectedInputs!AS192</f>
        <v>0</v>
      </c>
      <c r="AT130" s="8">
        <f>SelectedInputs!AT192</f>
        <v>0</v>
      </c>
      <c r="AU130" s="8">
        <f>SelectedInputs!AU192</f>
        <v>0</v>
      </c>
      <c r="AV130" s="8">
        <f>SelectedInputs!AV192</f>
        <v>0</v>
      </c>
    </row>
    <row r="131" spans="1:48" ht="15">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11.6596688150736</v>
      </c>
      <c r="AS131" s="8">
        <f>SelectedInputs!AS193</f>
        <v>14.2134707728957</v>
      </c>
      <c r="AT131" s="8">
        <f>SelectedInputs!AT193</f>
        <v>15.3849395608874</v>
      </c>
      <c r="AU131" s="8">
        <f>SelectedInputs!AU193</f>
        <v>15.3849395608874</v>
      </c>
      <c r="AV131" s="8">
        <f>SelectedInputs!AV193</f>
        <v>14.2134707728957</v>
      </c>
    </row>
    <row r="132" spans="1:48" ht="15">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-11.5442265495778</v>
      </c>
      <c r="AS132" s="8">
        <f>SelectedInputs!AS194</f>
        <v>-14.0727433395007</v>
      </c>
      <c r="AT132" s="8">
        <f>SelectedInputs!AT194</f>
        <v>-15.232613426621199</v>
      </c>
      <c r="AU132" s="8">
        <f>SelectedInputs!AU194</f>
        <v>-15.232613426621199</v>
      </c>
      <c r="AV132" s="8">
        <f>SelectedInputs!AV194</f>
        <v>-14.0727433395007</v>
      </c>
    </row>
    <row r="133" spans="1:48" ht="15">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1.84037811629849</v>
      </c>
      <c r="AS133" s="8">
        <f>SelectedInputs!AS195</f>
        <v>1.84037811629849</v>
      </c>
      <c r="AT133" s="8">
        <f>SelectedInputs!AT195</f>
        <v>1.84037811629849</v>
      </c>
      <c r="AU133" s="8">
        <f>SelectedInputs!AU195</f>
        <v>1.84037811629849</v>
      </c>
      <c r="AV133" s="8">
        <f>SelectedInputs!AV195</f>
        <v>1.84037811629849</v>
      </c>
    </row>
    <row r="134" spans="1:48" ht="15">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-1.8221565507905899</v>
      </c>
      <c r="AS134" s="8">
        <f>SelectedInputs!AS196</f>
        <v>-1.8221565507905899</v>
      </c>
      <c r="AT134" s="8">
        <f>SelectedInputs!AT196</f>
        <v>-1.8221565507905899</v>
      </c>
      <c r="AU134" s="8">
        <f>SelectedInputs!AU196</f>
        <v>-1.8221565507905899</v>
      </c>
      <c r="AV134" s="8">
        <f>SelectedInputs!AV196</f>
        <v>-1.8221565507905899</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13.50004693137209</v>
      </c>
      <c r="AS143" s="526">
        <f t="shared" si="9"/>
        <v>16.053848889194189</v>
      </c>
      <c r="AT143" s="526">
        <f t="shared" si="9"/>
        <v>17.225317677185888</v>
      </c>
      <c r="AU143" s="526">
        <f t="shared" si="9"/>
        <v>17.225317677185888</v>
      </c>
      <c r="AV143" s="526">
        <f t="shared" si="9"/>
        <v>16.053848889194189</v>
      </c>
    </row>
    <row r="144" spans="1:48" ht="15">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-13.36638310036839</v>
      </c>
      <c r="AS144" s="30">
        <f t="shared" si="9"/>
        <v>-15.89489989029129</v>
      </c>
      <c r="AT144" s="30">
        <f t="shared" si="9"/>
        <v>-17.054769977411791</v>
      </c>
      <c r="AU144" s="30">
        <f t="shared" si="9"/>
        <v>-17.054769977411791</v>
      </c>
      <c r="AV144" s="30">
        <f t="shared" si="9"/>
        <v>-15.89489989029129</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0</v>
      </c>
      <c r="AS146" s="30">
        <f>SelectedInputs!AS205</f>
        <v>0</v>
      </c>
      <c r="AT146" s="30">
        <f>SelectedInputs!AT205</f>
        <v>0</v>
      </c>
      <c r="AU146" s="30">
        <f>SelectedInputs!AU205</f>
        <v>0</v>
      </c>
      <c r="AV146" s="30">
        <f>SelectedInputs!AV205</f>
        <v>0</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v>
      </c>
      <c r="AS149" s="30">
        <f>-SUM(AS146:AS147)</f>
        <v>0</v>
      </c>
      <c r="AT149" s="30">
        <f>-SUM(AT146:AT147)</f>
        <v>0</v>
      </c>
      <c r="AU149" s="30">
        <f>-SUM(AU146:AU147)</f>
        <v>0</v>
      </c>
      <c r="AV149" s="30">
        <f>-SUM(AV146:AV147)</f>
        <v>0</v>
      </c>
    </row>
    <row r="150" spans="1:48" ht="15">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0.13366383100369994</v>
      </c>
      <c r="AS150" s="30">
        <f>SUM(AS143:AS144) + SUM(AS146:AS147)</f>
        <v>0.15894899890289871</v>
      </c>
      <c r="AT150" s="30">
        <f>SUM(AT143:AT144) + SUM(AT146:AT147)</f>
        <v>0.17054769977409734</v>
      </c>
      <c r="AU150" s="30">
        <f>SUM(AU143:AU144) + SUM(AU146:AU147)</f>
        <v>0.17054769977409734</v>
      </c>
      <c r="AV150" s="30">
        <f>SUM(AV143:AV144) + SUM(AV146:AV147)</f>
        <v>0.15894899890289871</v>
      </c>
    </row>
    <row r="151" spans="1:48" ht="15">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5">
      <c r="A158" s="2"/>
      <c r="B158" s="2"/>
      <c r="C158" s="194"/>
      <c r="D158" s="194"/>
      <c r="E158" s="2" t="s">
        <v>587</v>
      </c>
      <c r="F158" s="2"/>
      <c r="G158" s="7" t="s">
        <v>249</v>
      </c>
      <c r="H158" s="194" t="s">
        <v>588</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5">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5">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4.1450170800000005E-2</v>
      </c>
      <c r="AU169" s="193">
        <f>(AU158 * AU167) + (AU166 * (1 - AU167))</f>
        <v>4.15681044E-2</v>
      </c>
      <c r="AV169" s="193">
        <f>(AV158 * AV167) + (AV166 * (1 - AV167))</f>
        <v>4.1755693600000005E-2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5">
      <c r="A173" s="2"/>
      <c r="B173" s="2"/>
      <c r="C173" s="2"/>
      <c r="D173" s="2"/>
      <c r="E173" s="2" t="s">
        <v>595</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5.5175427000000006E-2</v>
      </c>
      <c r="AU173" s="193">
        <f>(AU169 - (AU158 * AU171)) / (1 - AU171)</f>
        <v>5.5320261000000003E-2</v>
      </c>
      <c r="AV173" s="193">
        <f>(AV169 - (AV158 * AV171)) / (1 - AV171)</f>
        <v>5.5489234000000012E-2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3.2300000000000002E-2</v>
      </c>
      <c r="AU178" s="485">
        <f>AU158</f>
        <v>3.2399999999999998E-2</v>
      </c>
      <c r="AV178" s="485">
        <f>AV158</f>
        <v>3.2599999999999997E-2</v>
      </c>
    </row>
    <row r="179" spans="1:49" ht="15">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5.5175427000000006E-2</v>
      </c>
      <c r="AU179" s="485">
        <f>AU173</f>
        <v>5.5320261000000003E-2</v>
      </c>
      <c r="AV179" s="485">
        <f>AV173</f>
        <v>5.5489234000000012E-2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4.1450170800000005E-2</v>
      </c>
      <c r="AU182" s="186">
        <f t="shared" si="10"/>
        <v>4.15681044E-2</v>
      </c>
      <c r="AV182" s="186">
        <f t="shared" si="10"/>
        <v>4.1755693600000005E-2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603</v>
      </c>
      <c r="F188" s="2"/>
      <c r="G188" s="7" t="s">
        <v>604</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8.7530899065423995E-2</v>
      </c>
      <c r="AS188" s="262">
        <f>'Annual Inflation'!AS24</f>
        <v>4.3184769776843268E-2</v>
      </c>
      <c r="AT188" s="262">
        <f>'Annual Inflation'!AT24</f>
        <v>2.6233436648239294E-2</v>
      </c>
      <c r="AU188" s="262">
        <f>'Annual Inflation'!AU24</f>
        <v>2.6055468787939295E-2</v>
      </c>
      <c r="AV188" s="262">
        <f>'Annual Inflation'!AV24</f>
        <v>2.814630513484162E-2</v>
      </c>
    </row>
    <row r="189" spans="1:49" ht="15">
      <c r="A189" s="2"/>
      <c r="B189" s="2"/>
      <c r="C189" s="2"/>
      <c r="D189" s="2"/>
      <c r="E189" s="2" t="s">
        <v>605</v>
      </c>
      <c r="F189" s="7"/>
      <c r="G189" s="7" t="s">
        <v>604</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6.2497611347487325E-2</v>
      </c>
      <c r="AS189" s="262">
        <f>'Annual Inflation'!AS27</f>
        <v>3.04739603020312E-2</v>
      </c>
      <c r="AT189" s="262">
        <f>'Annual Inflation'!AT27</f>
        <v>1.710175025781635E-2</v>
      </c>
      <c r="AU189" s="262">
        <f>'Annual Inflation'!AU27</f>
        <v>1.5421581354723601E-2</v>
      </c>
      <c r="AV189" s="262">
        <f>'Annual Inflation'!AV27</f>
        <v>1.7961851291584674E-2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1.2891506141768156</v>
      </c>
      <c r="AS194" s="256">
        <f>'Annual Inflation'!AS32</f>
        <v>1.3284361388165782</v>
      </c>
      <c r="AT194" s="256">
        <f>'Annual Inflation'!AT32</f>
        <v>1.3511547218960771</v>
      </c>
      <c r="AU194" s="256">
        <f>'Annual Inflation'!AU32</f>
        <v>1.3719916643626167</v>
      </c>
      <c r="AV194" s="256">
        <f>'Annual Inflation'!AV32</f>
        <v>1.3966351746111914</v>
      </c>
    </row>
    <row r="195" spans="1:48" ht="15">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1.3123689983998859</v>
      </c>
      <c r="AS195" s="256">
        <f>'Annual Inflation'!AS46</f>
        <v>1.3406592815876854</v>
      </c>
      <c r="AT195" s="256">
        <f>'Annual Inflation'!AT46</f>
        <v>1.3609729496063137</v>
      </c>
      <c r="AU195" s="256">
        <f>'Annual Inflation'!AU46</f>
        <v>1.383709961204471</v>
      </c>
      <c r="AV195" s="256">
        <f>'Annual Inflation'!AV46</f>
        <v>1.4090308989490572</v>
      </c>
    </row>
    <row r="196" spans="1:48" ht="15">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4.4278802083457691E-2</v>
      </c>
      <c r="AS196" s="126">
        <f t="shared" si="11"/>
        <v>2.1556653061976183E-2</v>
      </c>
      <c r="AT196" s="126">
        <f t="shared" si="11"/>
        <v>1.5151998943811806E-2</v>
      </c>
      <c r="AU196" s="126">
        <f t="shared" si="11"/>
        <v>1.6706439025650388E-2</v>
      </c>
      <c r="AV196" s="126">
        <f t="shared" si="11"/>
        <v>1.8299310154958448E-2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0.68</v>
      </c>
      <c r="AS209" s="262">
        <f>SelectedInputs!$I234</f>
        <v>0.68</v>
      </c>
      <c r="AT209" s="262">
        <f>SelectedInputs!$I234</f>
        <v>0.68</v>
      </c>
      <c r="AU209" s="262">
        <f>SelectedInputs!$I234</f>
        <v>0.68</v>
      </c>
      <c r="AV209" s="262">
        <f>SelectedInputs!$I234</f>
        <v>0.68</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272</v>
      </c>
      <c r="F212" s="13"/>
      <c r="G212" s="14" t="s">
        <v>209</v>
      </c>
      <c r="H212" s="474"/>
      <c r="I212" s="186">
        <f>SelectedInputs!I237</f>
        <v>0.49399999999999999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11</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34.633772164543871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28.526000944534815</v>
      </c>
      <c r="L229" s="30">
        <f>SelectedInputs!L250</f>
        <v>69.833132182400178</v>
      </c>
      <c r="M229" s="30">
        <f>SelectedInputs!M250</f>
        <v>144.48234244634517</v>
      </c>
      <c r="N229" s="30">
        <f>SelectedInputs!N250</f>
        <v>130.21934197407776</v>
      </c>
      <c r="O229" s="30">
        <f>SelectedInputs!O250</f>
        <v>129.10793933987514</v>
      </c>
      <c r="P229" s="30">
        <f>SelectedInputs!P250</f>
        <v>132.25691347011596</v>
      </c>
      <c r="Q229" s="30">
        <f>SelectedInputs!Q250</f>
        <v>138.18439418586345</v>
      </c>
      <c r="R229" s="30">
        <f>SelectedInputs!R250</f>
        <v>168.37749908170227</v>
      </c>
      <c r="S229" s="30">
        <f>SelectedInputs!S250</f>
        <v>180.29446944987433</v>
      </c>
      <c r="T229" s="30">
        <f>SelectedInputs!T250</f>
        <v>165.71182853848742</v>
      </c>
      <c r="U229" s="30">
        <f>SelectedInputs!U250</f>
        <v>143.89240198462886</v>
      </c>
      <c r="V229" s="30">
        <f>SelectedInputs!V250</f>
        <v>131.62425113826984</v>
      </c>
      <c r="W229" s="30">
        <f>SelectedInputs!W250</f>
        <v>152.1201964892596</v>
      </c>
      <c r="X229" s="30">
        <f>SelectedInputs!X250</f>
        <v>179.58715805818156</v>
      </c>
      <c r="Y229" s="30">
        <f>SelectedInputs!Y250</f>
        <v>173.32006211906727</v>
      </c>
      <c r="Z229" s="30">
        <f>SelectedInputs!Z250</f>
        <v>203.36386369721032</v>
      </c>
      <c r="AA229" s="30">
        <f>SelectedInputs!AA250</f>
        <v>128.05389332658407</v>
      </c>
      <c r="AB229" s="30">
        <f>SelectedInputs!AB250</f>
        <v>157.80709395436162</v>
      </c>
      <c r="AC229" s="30">
        <f>SelectedInputs!AC250</f>
        <v>173.39101420035695</v>
      </c>
      <c r="AD229" s="30">
        <f>SelectedInputs!AD250</f>
        <v>158.41065966088121</v>
      </c>
      <c r="AE229" s="30">
        <f>SelectedInputs!AE250</f>
        <v>153.73959941493774</v>
      </c>
      <c r="AF229" s="30">
        <f>SelectedInputs!AF250</f>
        <v>189.52738762176125</v>
      </c>
      <c r="AG229" s="30">
        <f>SelectedInputs!AG250</f>
        <v>198.81414272608728</v>
      </c>
      <c r="AH229" s="30">
        <f>SelectedInputs!AH250</f>
        <v>203.91110785164159</v>
      </c>
      <c r="AI229" s="30">
        <f>SelectedInputs!AI250</f>
        <v>226.64315013833672</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-0.40331059103414102</v>
      </c>
      <c r="AI231" s="166">
        <f>SelectedInputs!AI252</f>
        <v>-5.3845333762148337</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401</v>
      </c>
      <c r="F235" s="194"/>
      <c r="G235" s="2" t="s">
        <v>105</v>
      </c>
      <c r="H235" s="194" t="s">
        <v>402</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191.71604548314653</v>
      </c>
      <c r="AK235" s="30">
        <f>SelectedInputs!AK343 * Legacy!$I12</f>
        <v>174.69572201826307</v>
      </c>
      <c r="AL235" s="30">
        <f>SelectedInputs!AL343 * Legacy!$I12</f>
        <v>186.35491468013478</v>
      </c>
      <c r="AM235" s="30">
        <f>SelectedInputs!AM343 * Legacy!$I12</f>
        <v>189.53974377633185</v>
      </c>
      <c r="AN235" s="30">
        <f>SelectedInputs!AN343 * Legacy!$I12</f>
        <v>182.79560949560832</v>
      </c>
      <c r="AO235" s="30">
        <f>SelectedInputs!AO343 * Legacy!$I12</f>
        <v>181.46808524335731</v>
      </c>
      <c r="AP235" s="30">
        <f>SelectedInputs!AP343 * Legacy!$I12</f>
        <v>188.56712753893612</v>
      </c>
      <c r="AQ235" s="218">
        <f>SelectedInputs!AQ343 * Legacy!$I12</f>
        <v>185.21365640640448</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1</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SelectedInputs!AQ264</f>
        <v>0</v>
      </c>
      <c r="AR247" s="186"/>
      <c r="AS247" s="186"/>
      <c r="AT247" s="186"/>
      <c r="AU247" s="186"/>
      <c r="AV247" s="186"/>
    </row>
    <row r="248" spans="1:48" ht="15">
      <c r="A248" s="2"/>
      <c r="B248" s="2"/>
      <c r="C248" s="2"/>
      <c r="D248" s="2"/>
      <c r="E248" s="131" t="s">
        <v>303</v>
      </c>
      <c r="F248" s="2"/>
      <c r="G248" s="21" t="s">
        <v>304</v>
      </c>
      <c r="H248" s="82" t="s">
        <v>305</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SelectedInputs!AQ355</f>
        <v>535.9583433900001</v>
      </c>
      <c r="AR248" s="30">
        <f>SelectedInputs!AR265</f>
        <v>540.74432200000001</v>
      </c>
      <c r="AS248" s="30">
        <f>SelectedInputs!AS265</f>
        <v>591.86584300000004</v>
      </c>
      <c r="AT248" s="30">
        <f>SelectedInputs!AT265</f>
        <v>0</v>
      </c>
      <c r="AU248" s="30">
        <f>SelectedInputs!AU265</f>
        <v>0</v>
      </c>
      <c r="AV248" s="30">
        <f>SelectedInputs!AV265</f>
        <v>0</v>
      </c>
    </row>
    <row r="249" spans="1:48" ht="15">
      <c r="A249" s="2"/>
      <c r="B249" s="2"/>
      <c r="C249" s="2"/>
      <c r="D249" s="2"/>
      <c r="E249" s="131" t="s">
        <v>1227</v>
      </c>
      <c r="F249" s="2"/>
      <c r="G249" s="21" t="s">
        <v>304</v>
      </c>
      <c r="H249" s="2" t="s">
        <v>619</v>
      </c>
      <c r="I249" s="7"/>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8">
        <f>AQ248 - (AQ252+AQ253)*InputSummary!AQ18</f>
        <v>535.9583433900001</v>
      </c>
      <c r="AR249" s="30">
        <f>AR248 - (AR252+AR253)*InputSummary!AR18</f>
        <v>540.74432200000001</v>
      </c>
      <c r="AS249" s="30">
        <f>AS248 - (AS252+AS253)*InputSummary!AS18</f>
        <v>591.86584300000004</v>
      </c>
      <c r="AT249" s="30">
        <f>AT248 - (AT252+AT253)*InputSummary!AT18</f>
        <v>0</v>
      </c>
      <c r="AU249" s="30">
        <f>AU248 - (AU252+AU253)*InputSummary!AU18</f>
        <v>0</v>
      </c>
      <c r="AV249" s="30">
        <f>AV248 - (AV252+AV253)*InputSummary!AV18</f>
        <v>0</v>
      </c>
    </row>
    <row r="250" spans="1:48" ht="15">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c r="AR250" s="30">
        <f>SelectedInputs!AR266</f>
        <v>0</v>
      </c>
      <c r="AS250" s="30">
        <f>SelectedInputs!AS266</f>
        <v>0</v>
      </c>
      <c r="AT250" s="30">
        <f>SelectedInputs!AT266</f>
        <v>668.77982567635831</v>
      </c>
      <c r="AU250" s="30">
        <f>SelectedInputs!AU266</f>
        <v>0</v>
      </c>
      <c r="AV250" s="30">
        <f>SelectedInputs!AV266</f>
        <v>0</v>
      </c>
    </row>
    <row r="251" spans="1:48" ht="15">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f>SelectedInputs!AQ267</f>
        <v>0</v>
      </c>
      <c r="AR251" s="30">
        <f>SelectedInputs!AR267</f>
        <v>0</v>
      </c>
      <c r="AS251" s="30">
        <f>SelectedInputs!AS267</f>
        <v>0</v>
      </c>
      <c r="AT251" s="30">
        <f>SelectedInputs!AT267</f>
        <v>401.44586337161212</v>
      </c>
      <c r="AU251" s="30">
        <f>SelectedInputs!AU267</f>
        <v>0</v>
      </c>
      <c r="AV251" s="30">
        <f>SelectedInputs!AV267</f>
        <v>0</v>
      </c>
    </row>
    <row r="252" spans="1:48" ht="15">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8">
        <f>SelectedInputs!AQ271</f>
        <v>0</v>
      </c>
      <c r="AR255" s="30">
        <f>SelectedInputs!AR271</f>
        <v>0</v>
      </c>
      <c r="AS255" s="30">
        <f>SelectedInputs!AS271</f>
        <v>0</v>
      </c>
      <c r="AT255" s="30">
        <f>SelectedInputs!AT271</f>
        <v>0</v>
      </c>
      <c r="AU255" s="30">
        <f>SelectedInputs!AU271</f>
        <v>0</v>
      </c>
      <c r="AV255" s="30">
        <f>SelectedInputs!AV271</f>
        <v>0</v>
      </c>
    </row>
    <row r="256" spans="1:48" ht="15">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8"/>
      <c r="AR257" s="30"/>
      <c r="AS257" s="30"/>
      <c r="AT257" s="30"/>
      <c r="AU257" s="30"/>
      <c r="AV257" s="30"/>
    </row>
    <row r="258" spans="1:48" ht="15">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5">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8"/>
      <c r="AR259" s="46"/>
      <c r="AS259" s="46"/>
      <c r="AT259" s="46"/>
      <c r="AU259" s="46"/>
      <c r="AV259" s="46"/>
    </row>
    <row r="260" spans="1:48" ht="15">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5">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5">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5">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0.25</v>
      </c>
      <c r="AS264" s="262">
        <f>SelectedInputs!AS286</f>
        <v>0.25</v>
      </c>
      <c r="AT264" s="262">
        <f>SelectedInputs!AT286</f>
        <v>0.25</v>
      </c>
      <c r="AU264" s="262">
        <f>SelectedInputs!AU286</f>
        <v>0.25</v>
      </c>
      <c r="AV264" s="262">
        <f>SelectedInputs!AV286</f>
        <v>0.25</v>
      </c>
    </row>
    <row r="265" spans="1:48" ht="15">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0.18</v>
      </c>
      <c r="AS265" s="262">
        <f>SelectedInputs!AS287</f>
        <v>0.18</v>
      </c>
      <c r="AT265" s="262">
        <f>SelectedInputs!AT287</f>
        <v>0.18</v>
      </c>
      <c r="AU265" s="262">
        <f>SelectedInputs!AU287</f>
        <v>0.18</v>
      </c>
      <c r="AV265" s="262">
        <f>SelectedInputs!AV287</f>
        <v>0.18</v>
      </c>
    </row>
    <row r="266" spans="1:48" ht="15">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0.06</v>
      </c>
      <c r="AS266" s="262">
        <f>SelectedInputs!AS288</f>
        <v>0.06</v>
      </c>
      <c r="AT266" s="262">
        <f>SelectedInputs!AT288</f>
        <v>0.06</v>
      </c>
      <c r="AU266" s="262">
        <f>SelectedInputs!AU288</f>
        <v>0.06</v>
      </c>
      <c r="AV266" s="262">
        <f>SelectedInputs!AV288</f>
        <v>0.06</v>
      </c>
    </row>
    <row r="267" spans="1:48" ht="15">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2"/>
      <c r="AK267" s="262"/>
      <c r="AL267" s="262"/>
      <c r="AM267" s="262"/>
      <c r="AN267" s="262"/>
      <c r="AO267" s="262"/>
      <c r="AP267" s="262"/>
      <c r="AQ267" s="298"/>
      <c r="AR267" s="262">
        <f>SelectedInputs!AR289</f>
        <v>0.03</v>
      </c>
      <c r="AS267" s="262">
        <f>SelectedInputs!AS289</f>
        <v>0.03</v>
      </c>
      <c r="AT267" s="262">
        <f>SelectedInputs!AT289</f>
        <v>0.03</v>
      </c>
      <c r="AU267" s="262">
        <f>SelectedInputs!AU289</f>
        <v>0.03</v>
      </c>
      <c r="AV267" s="262">
        <f>SelectedInputs!AV289</f>
        <v>0.03</v>
      </c>
    </row>
    <row r="268" spans="1:48" ht="15">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f>SelectedInputs!AR290</f>
        <v>2.2200000000000001E-2</v>
      </c>
      <c r="AS268" s="262">
        <f>SelectedInputs!AS290</f>
        <v>2.2200000000000001E-2</v>
      </c>
      <c r="AT268" s="262">
        <f>SelectedInputs!AT290</f>
        <v>2.2200000000000001E-2</v>
      </c>
      <c r="AU268" s="262">
        <f>SelectedInputs!AU290</f>
        <v>2.2200000000000001E-2</v>
      </c>
      <c r="AV268" s="262">
        <f>SelectedInputs!AV290</f>
        <v>2.2200000000000001E-2</v>
      </c>
    </row>
    <row r="269" spans="1:48" ht="15">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2"/>
      <c r="AK269" s="262"/>
      <c r="AL269" s="262"/>
      <c r="AM269" s="262"/>
      <c r="AN269" s="262"/>
      <c r="AO269" s="262"/>
      <c r="AP269" s="262"/>
      <c r="AQ269" s="298"/>
      <c r="AR269" s="262"/>
      <c r="AS269" s="262"/>
      <c r="AT269" s="262"/>
      <c r="AU269" s="262"/>
      <c r="AV269" s="262"/>
    </row>
    <row r="270" spans="1:48" ht="15">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5">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5">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71.307668294850316</v>
      </c>
      <c r="AS272" s="30"/>
      <c r="AT272" s="30"/>
      <c r="AU272" s="30"/>
      <c r="AV272" s="30"/>
    </row>
    <row r="273" spans="1:57" ht="15">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628.2455801054839</v>
      </c>
      <c r="AS273" s="30"/>
      <c r="AT273" s="30"/>
      <c r="AU273" s="30"/>
      <c r="AV273" s="30"/>
    </row>
    <row r="274" spans="1:57" ht="15">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8"/>
      <c r="AR274" s="30">
        <f>SelectedInputs!AR347</f>
        <v>1145.01039268363</v>
      </c>
      <c r="AS274" s="30"/>
      <c r="AT274" s="30"/>
      <c r="AU274" s="30"/>
      <c r="AV274" s="30"/>
    </row>
    <row r="275" spans="1:57" s="82" customFormat="1" ht="15">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8">
        <f>SelectedInputs!AQ348</f>
        <v>1428.7456461475876</v>
      </c>
      <c r="AR275" s="455"/>
      <c r="AS275" s="184"/>
      <c r="AT275" s="184"/>
      <c r="AU275" s="184"/>
      <c r="AV275" s="184"/>
      <c r="AW275" s="184"/>
      <c r="AX275" s="184"/>
      <c r="AY275" s="184"/>
      <c r="AZ275" s="184"/>
      <c r="BA275" s="184"/>
      <c r="BC275"/>
      <c r="BD275"/>
      <c r="BE275"/>
    </row>
    <row r="276" spans="1:57" ht="15">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8"/>
      <c r="AR276" s="30">
        <f>SelectedInputs!AR349</f>
        <v>0</v>
      </c>
      <c r="AS276" s="30"/>
      <c r="AT276" s="30"/>
      <c r="AU276" s="30"/>
      <c r="AV276" s="30"/>
    </row>
    <row r="277" spans="1:57" ht="1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5">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f>SelectedInputs!AR350</f>
        <v>0</v>
      </c>
      <c r="AS278" s="184"/>
      <c r="AT278" s="184"/>
      <c r="AU278" s="184"/>
      <c r="AV278" s="184"/>
      <c r="AW278" s="184"/>
      <c r="AX278" s="184"/>
      <c r="AY278" s="184"/>
      <c r="AZ278" s="184"/>
      <c r="BA278" s="184"/>
      <c r="BB278" s="82"/>
    </row>
    <row r="279" spans="1:57" ht="15">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8"/>
      <c r="AR279" s="184"/>
      <c r="AS279" s="184"/>
      <c r="AT279" s="184"/>
      <c r="AU279" s="184"/>
      <c r="AV279" s="184"/>
      <c r="AW279" s="184"/>
      <c r="AX279" s="184"/>
      <c r="AY279" s="184"/>
      <c r="AZ279" s="184"/>
      <c r="BA279" s="184"/>
      <c r="BB279" s="82"/>
    </row>
    <row r="280" spans="1:57" ht="15">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5">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5">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0</v>
      </c>
      <c r="AS282" s="30">
        <f>SelectedInputs!AS278</f>
        <v>0</v>
      </c>
      <c r="AT282" s="30">
        <f>SelectedInputs!AT278</f>
        <v>0</v>
      </c>
      <c r="AU282" s="30">
        <f>SelectedInputs!AU278</f>
        <v>0</v>
      </c>
      <c r="AV282" s="30">
        <f>SelectedInputs!AV278</f>
        <v>0</v>
      </c>
    </row>
    <row r="283" spans="1:57" ht="15">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0</v>
      </c>
      <c r="AS283" s="30">
        <f>SelectedInputs!AS279</f>
        <v>0</v>
      </c>
      <c r="AT283" s="30">
        <f>SelectedInputs!AT279</f>
        <v>0</v>
      </c>
      <c r="AU283" s="30">
        <f>SelectedInputs!AU279</f>
        <v>0</v>
      </c>
      <c r="AV283" s="30">
        <f>SelectedInputs!AV279</f>
        <v>0</v>
      </c>
    </row>
    <row r="284" spans="1:57" ht="15">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8"/>
      <c r="AR285" s="30">
        <f>SelectedInputs!AR281</f>
        <v>0</v>
      </c>
      <c r="AS285" s="30">
        <f>SelectedInputs!AS281</f>
        <v>0</v>
      </c>
      <c r="AT285" s="30">
        <f>SelectedInputs!AT281</f>
        <v>0</v>
      </c>
      <c r="AU285" s="30">
        <f>SelectedInputs!AU281</f>
        <v>0</v>
      </c>
      <c r="AV285" s="30">
        <f>SelectedInputs!AV281</f>
        <v>0</v>
      </c>
    </row>
    <row r="286" spans="1:57" ht="15">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5">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1.4366690915062783</v>
      </c>
      <c r="AS287" s="30">
        <f>SelectedInputs!AS292</f>
        <v>1.3797759532786635</v>
      </c>
      <c r="AT287" s="30">
        <f>SelectedInputs!AT292</f>
        <v>1.2994160329983981</v>
      </c>
      <c r="AU287" s="30">
        <f>SelectedInputs!AU292</f>
        <v>1.2615281568238033</v>
      </c>
      <c r="AV287" s="30">
        <f>SelectedInputs!AV292</f>
        <v>1.2611798067947679</v>
      </c>
    </row>
    <row r="288" spans="1:57" ht="15">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48"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48" ht="15">
      <c r="A290" s="2"/>
      <c r="B290" s="37" t="s">
        <v>630</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8"/>
      <c r="AR290" s="37"/>
      <c r="AS290" s="37"/>
      <c r="AT290" s="37"/>
      <c r="AU290" s="37"/>
      <c r="AV290" s="37"/>
    </row>
    <row r="291" spans="1:48" ht="15">
      <c r="A291" s="2"/>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269"/>
      <c r="AR291" s="83"/>
      <c r="AS291" s="83"/>
      <c r="AT291" s="83"/>
      <c r="AU291" s="83"/>
      <c r="AV291" s="83"/>
    </row>
    <row r="292" spans="1:48" ht="15">
      <c r="A292" s="2"/>
      <c r="B292" s="2"/>
      <c r="C292" s="28" t="s">
        <v>631</v>
      </c>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9"/>
      <c r="AR292" s="28"/>
      <c r="AS292" s="28"/>
      <c r="AT292" s="28"/>
      <c r="AU292" s="28"/>
      <c r="AV292" s="28"/>
    </row>
    <row r="293" spans="1:48" ht="1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65"/>
      <c r="AR293" s="7"/>
      <c r="AS293" s="7"/>
      <c r="AT293" s="7"/>
      <c r="AU293" s="7"/>
      <c r="AV293" s="7"/>
    </row>
    <row r="294" spans="1:48" ht="15.75">
      <c r="A294" s="82"/>
      <c r="B294" s="82"/>
      <c r="C294" s="82"/>
      <c r="D294" s="82"/>
      <c r="E294" s="259" t="s">
        <v>632</v>
      </c>
      <c r="F294" s="268"/>
      <c r="G294" s="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147"/>
      <c r="AR294" s="7"/>
      <c r="AS294" s="7"/>
      <c r="AT294" s="7"/>
      <c r="AU294" s="7"/>
      <c r="AV294" s="7"/>
    </row>
    <row r="295" spans="1:48" ht="15.75">
      <c r="A295" s="82"/>
      <c r="B295" s="82"/>
      <c r="C295" s="82"/>
      <c r="D295" s="82"/>
      <c r="E295" s="82" t="s">
        <v>633</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ref="AR295:AV301" si="12">AR31 + AR313 + AR322</f>
        <v>48.321462872561121</v>
      </c>
      <c r="AS295" s="7">
        <f t="shared" si="12"/>
        <v>62.521869946478517</v>
      </c>
      <c r="AT295" s="7">
        <f t="shared" si="12"/>
        <v>76.681512156745612</v>
      </c>
      <c r="AU295" s="7">
        <f t="shared" si="12"/>
        <v>75.978931305734463</v>
      </c>
      <c r="AV295" s="7">
        <f t="shared" si="12"/>
        <v>86.33913953693795</v>
      </c>
    </row>
    <row r="296" spans="1:48" ht="15.75">
      <c r="A296" s="82"/>
      <c r="B296" s="82"/>
      <c r="C296" s="82"/>
      <c r="D296" s="82"/>
      <c r="E296" s="82" t="s">
        <v>634</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86.882469091653817</v>
      </c>
      <c r="AS296" s="7">
        <f t="shared" si="12"/>
        <v>92.606707086097458</v>
      </c>
      <c r="AT296" s="7">
        <f t="shared" si="12"/>
        <v>102.29820103622453</v>
      </c>
      <c r="AU296" s="7">
        <f t="shared" si="12"/>
        <v>98.479809477794902</v>
      </c>
      <c r="AV296" s="7">
        <f t="shared" si="12"/>
        <v>95.225923263438773</v>
      </c>
    </row>
    <row r="297" spans="1:48" ht="15.75">
      <c r="A297" s="82"/>
      <c r="B297" s="82"/>
      <c r="C297" s="82"/>
      <c r="D297" s="82"/>
      <c r="E297" s="82" t="s">
        <v>635</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51.231244860367575</v>
      </c>
      <c r="AS297" s="7">
        <f t="shared" si="12"/>
        <v>44.904668987530847</v>
      </c>
      <c r="AT297" s="7">
        <f t="shared" si="12"/>
        <v>40.325226904448918</v>
      </c>
      <c r="AU297" s="7">
        <f t="shared" si="12"/>
        <v>30.501930301936703</v>
      </c>
      <c r="AV297" s="7">
        <f t="shared" si="12"/>
        <v>25.258914583284142</v>
      </c>
    </row>
    <row r="298" spans="1:48" ht="15.75">
      <c r="A298" s="82"/>
      <c r="B298" s="82"/>
      <c r="C298" s="82"/>
      <c r="D298" s="82"/>
      <c r="E298" s="82" t="s">
        <v>636</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28.3218350373756</v>
      </c>
      <c r="AS298" s="7">
        <f t="shared" si="12"/>
        <v>28.616829708111965</v>
      </c>
      <c r="AT298" s="7">
        <f t="shared" si="12"/>
        <v>33.312568696466009</v>
      </c>
      <c r="AU298" s="7">
        <f t="shared" si="12"/>
        <v>34.628944823964083</v>
      </c>
      <c r="AV298" s="7">
        <f t="shared" si="12"/>
        <v>43.040931906841003</v>
      </c>
    </row>
    <row r="299" spans="1:48" ht="15.75">
      <c r="A299" s="82"/>
      <c r="B299" s="82"/>
      <c r="C299" s="82"/>
      <c r="D299" s="82"/>
      <c r="E299" s="82" t="s">
        <v>637</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5.384726662223926</v>
      </c>
      <c r="AS299" s="7">
        <f t="shared" si="12"/>
        <v>5.4250849698983403</v>
      </c>
      <c r="AT299" s="7">
        <f t="shared" si="12"/>
        <v>5.4565052111454095</v>
      </c>
      <c r="AU299" s="7">
        <f t="shared" si="12"/>
        <v>5.3819122148861132</v>
      </c>
      <c r="AV299" s="7">
        <f t="shared" si="12"/>
        <v>5.3501189105689013</v>
      </c>
    </row>
    <row r="300" spans="1:48" ht="15.75">
      <c r="A300" s="82"/>
      <c r="B300" s="82"/>
      <c r="C300" s="82"/>
      <c r="D300" s="82"/>
      <c r="E300" s="82" t="s">
        <v>638</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15.27197113346452</v>
      </c>
      <c r="AS300" s="7">
        <f t="shared" si="12"/>
        <v>15.35437983070017</v>
      </c>
      <c r="AT300" s="7">
        <f t="shared" si="12"/>
        <v>15.399791579142594</v>
      </c>
      <c r="AU300" s="7">
        <f t="shared" si="12"/>
        <v>15.208198440824589</v>
      </c>
      <c r="AV300" s="7">
        <f t="shared" si="12"/>
        <v>15.114522575753956</v>
      </c>
    </row>
    <row r="301" spans="1:48" ht="15.75">
      <c r="A301" s="82"/>
      <c r="B301" s="82"/>
      <c r="C301" s="82"/>
      <c r="D301" s="82"/>
      <c r="E301" s="82" t="s">
        <v>639</v>
      </c>
      <c r="F301" s="268"/>
      <c r="G301" s="2" t="s">
        <v>105</v>
      </c>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434"/>
      <c r="AR301" s="7">
        <f t="shared" si="12"/>
        <v>128.32612225026443</v>
      </c>
      <c r="AS301" s="7">
        <f t="shared" si="12"/>
        <v>126.45022331402642</v>
      </c>
      <c r="AT301" s="7">
        <f t="shared" si="12"/>
        <v>125.56531430416398</v>
      </c>
      <c r="AU301" s="7">
        <f t="shared" si="12"/>
        <v>125.07181564740193</v>
      </c>
      <c r="AV301" s="7">
        <f t="shared" si="12"/>
        <v>125.23682826452267</v>
      </c>
    </row>
    <row r="302" spans="1:48" ht="15.75">
      <c r="A302" s="82"/>
      <c r="B302" s="82"/>
      <c r="C302" s="82"/>
      <c r="D302" s="82"/>
      <c r="E302" s="82"/>
      <c r="F302" s="268"/>
      <c r="G302" s="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7"/>
      <c r="AS302" s="7"/>
      <c r="AT302" s="7"/>
      <c r="AU302" s="7"/>
      <c r="AV302" s="7"/>
    </row>
    <row r="303" spans="1:48" ht="15">
      <c r="A303" s="82"/>
      <c r="B303" s="82"/>
      <c r="C303" s="82"/>
      <c r="D303" s="82"/>
      <c r="E303" s="259" t="s">
        <v>640</v>
      </c>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251"/>
      <c r="AS303" s="251"/>
      <c r="AT303" s="251"/>
      <c r="AU303" s="251"/>
      <c r="AV303" s="251"/>
    </row>
    <row r="304" spans="1:48" ht="15.75">
      <c r="A304" s="82"/>
      <c r="B304" s="82"/>
      <c r="C304" s="82"/>
      <c r="D304" s="82"/>
      <c r="E304" s="82" t="s">
        <v>633</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ref="AR304:AV310" si="13">AR31</f>
        <v>20.02</v>
      </c>
      <c r="AS304" s="7">
        <f t="shared" si="13"/>
        <v>31.41</v>
      </c>
      <c r="AT304" s="7">
        <f t="shared" si="13"/>
        <v>26.99</v>
      </c>
      <c r="AU304" s="7">
        <f t="shared" si="13"/>
        <v>16.87</v>
      </c>
      <c r="AV304" s="7">
        <f t="shared" si="13"/>
        <v>17.5</v>
      </c>
    </row>
    <row r="305" spans="1:48" ht="15.75">
      <c r="A305" s="82"/>
      <c r="B305" s="82"/>
      <c r="C305" s="82"/>
      <c r="D305" s="82"/>
      <c r="E305" s="82" t="s">
        <v>634</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39.53</v>
      </c>
      <c r="AS305" s="7">
        <f t="shared" si="13"/>
        <v>40.75</v>
      </c>
      <c r="AT305" s="7">
        <f t="shared" si="13"/>
        <v>44.32</v>
      </c>
      <c r="AU305" s="7">
        <f t="shared" si="13"/>
        <v>41.74</v>
      </c>
      <c r="AV305" s="7">
        <f t="shared" si="13"/>
        <v>40.33</v>
      </c>
    </row>
    <row r="306" spans="1:48" ht="15.75">
      <c r="A306" s="82"/>
      <c r="B306" s="82"/>
      <c r="C306" s="82"/>
      <c r="D306" s="82"/>
      <c r="E306" s="82" t="s">
        <v>635</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41.7</v>
      </c>
      <c r="AS306" s="7">
        <f t="shared" si="13"/>
        <v>34.9</v>
      </c>
      <c r="AT306" s="7">
        <f t="shared" si="13"/>
        <v>31.91</v>
      </c>
      <c r="AU306" s="7">
        <f t="shared" si="13"/>
        <v>18.78</v>
      </c>
      <c r="AV306" s="7">
        <f t="shared" si="13"/>
        <v>15.87</v>
      </c>
    </row>
    <row r="307" spans="1:48" ht="15.75">
      <c r="A307" s="82"/>
      <c r="B307" s="82"/>
      <c r="C307" s="82"/>
      <c r="D307" s="82"/>
      <c r="E307" s="82" t="s">
        <v>636</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28.57</v>
      </c>
      <c r="AS307" s="7">
        <f t="shared" si="13"/>
        <v>28.55</v>
      </c>
      <c r="AT307" s="7">
        <f t="shared" si="13"/>
        <v>29.45</v>
      </c>
      <c r="AU307" s="7">
        <f t="shared" si="13"/>
        <v>30.05</v>
      </c>
      <c r="AV307" s="7">
        <f t="shared" si="13"/>
        <v>29.9</v>
      </c>
    </row>
    <row r="308" spans="1:48" ht="15.75">
      <c r="A308" s="82"/>
      <c r="B308" s="82"/>
      <c r="C308" s="82"/>
      <c r="D308" s="82"/>
      <c r="E308" s="82" t="s">
        <v>637</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5.43</v>
      </c>
      <c r="AS308" s="7">
        <f t="shared" si="13"/>
        <v>5.42</v>
      </c>
      <c r="AT308" s="7">
        <f t="shared" si="13"/>
        <v>5.4</v>
      </c>
      <c r="AU308" s="7">
        <f t="shared" si="13"/>
        <v>5.28</v>
      </c>
      <c r="AV308" s="7">
        <f t="shared" si="13"/>
        <v>5.2</v>
      </c>
    </row>
    <row r="309" spans="1:48" ht="15.75">
      <c r="A309" s="82"/>
      <c r="B309" s="82"/>
      <c r="C309" s="82"/>
      <c r="D309" s="82"/>
      <c r="E309" s="82" t="s">
        <v>638</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15.4</v>
      </c>
      <c r="AS309" s="7">
        <f t="shared" si="13"/>
        <v>15.34</v>
      </c>
      <c r="AT309" s="7">
        <f t="shared" si="13"/>
        <v>15.24</v>
      </c>
      <c r="AU309" s="7">
        <f t="shared" si="13"/>
        <v>14.92</v>
      </c>
      <c r="AV309" s="7">
        <f t="shared" si="13"/>
        <v>14.69</v>
      </c>
    </row>
    <row r="310" spans="1:48" ht="15.75">
      <c r="A310" s="82"/>
      <c r="B310" s="82"/>
      <c r="C310" s="82"/>
      <c r="D310" s="82"/>
      <c r="E310" s="82" t="s">
        <v>639</v>
      </c>
      <c r="F310" s="268"/>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f t="shared" si="13"/>
        <v>117.34</v>
      </c>
      <c r="AS310" s="7">
        <f t="shared" si="13"/>
        <v>116.53</v>
      </c>
      <c r="AT310" s="7">
        <f t="shared" si="13"/>
        <v>113.8</v>
      </c>
      <c r="AU310" s="7">
        <f t="shared" si="13"/>
        <v>113.02</v>
      </c>
      <c r="AV310" s="7">
        <f t="shared" si="13"/>
        <v>111.48</v>
      </c>
    </row>
    <row r="311" spans="1:48" ht="15.75">
      <c r="A311" s="82"/>
      <c r="B311" s="82"/>
      <c r="C311" s="82"/>
      <c r="D311" s="82"/>
      <c r="E311" s="82"/>
      <c r="F311" s="268"/>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5">
      <c r="A312" s="82"/>
      <c r="B312" s="82"/>
      <c r="C312" s="82"/>
      <c r="D312" s="82"/>
      <c r="E312" s="259"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1"/>
      <c r="AS312" s="251"/>
      <c r="AT312" s="251"/>
      <c r="AU312" s="251"/>
      <c r="AV312" s="251"/>
    </row>
    <row r="313" spans="1:48" ht="15.75">
      <c r="A313" s="82"/>
      <c r="B313" s="82"/>
      <c r="C313" s="82"/>
      <c r="D313" s="82"/>
      <c r="E313" s="82" t="s">
        <v>633</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SUMPRODUCT(--($AM$385:$AM$432=1),AR$332:AR$379,$AO$385:$AO$432)</f>
        <v>14.625576415086035</v>
      </c>
      <c r="AS313" s="7" cm="1">
        <f t="array" ref="AS313">SUMPRODUCT(--($AM$385:$AM$432=1),AS$332:AS$379,$AO$385:$AO$432)</f>
        <v>14.785315144479158</v>
      </c>
      <c r="AT313" s="7" cm="1">
        <f t="array" ref="AT313">SUMPRODUCT(--($AM$385:$AM$432=1),AT$332:AT$379,$AO$385:$AO$432)</f>
        <v>14.952429008493597</v>
      </c>
      <c r="AU313" s="7" cm="1">
        <f t="array" ref="AU313">SUMPRODUCT(--($AM$385:$AM$432=1),AU$332:AU$379,$AO$385:$AO$432)</f>
        <v>15.077780904282005</v>
      </c>
      <c r="AV313" s="7" cm="1">
        <f t="array" ref="AV313">SUMPRODUCT(--($AM$385:$AM$432=1),AV$332:AV$379,$AO$385:$AO$432)</f>
        <v>15.272576676319147</v>
      </c>
    </row>
    <row r="314" spans="1:48" ht="15.75">
      <c r="A314" s="82"/>
      <c r="B314" s="82"/>
      <c r="C314" s="82"/>
      <c r="D314" s="82"/>
      <c r="E314" s="82" t="s">
        <v>634</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SUMPRODUCT(--($AM$385:$AM$432=1),AR$332:AR$379,$AP$385:$AP$432)</f>
        <v>42.024071288750854</v>
      </c>
      <c r="AS314" s="7" cm="1">
        <f t="array" ref="AS314">SUMPRODUCT(--($AM$385:$AM$432=1),AS$332:AS$379,$AP$385:$AP$432)</f>
        <v>42.439287863970414</v>
      </c>
      <c r="AT314" s="7" cm="1">
        <f t="array" ref="AT314">SUMPRODUCT(--($AM$385:$AM$432=1),AT$332:AT$379,$AP$385:$AP$432)</f>
        <v>44.4310627367488</v>
      </c>
      <c r="AU314" s="7" cm="1">
        <f t="array" ref="AU314">SUMPRODUCT(--($AM$385:$AM$432=1),AU$332:AU$379,$AP$385:$AP$432)</f>
        <v>43.549075646927911</v>
      </c>
      <c r="AV314" s="7" cm="1">
        <f t="array" ref="AV314">SUMPRODUCT(--($AM$385:$AM$432=1),AV$332:AV$379,$AP$385:$AP$432)</f>
        <v>41.86074301294471</v>
      </c>
    </row>
    <row r="315" spans="1:48" ht="15.75">
      <c r="A315" s="82"/>
      <c r="B315" s="82"/>
      <c r="C315" s="82"/>
      <c r="D315" s="82"/>
      <c r="E315" s="82" t="s">
        <v>635</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SUMPRODUCT(--($AM$385:$AM$432=1),AR$332:AR$379,$AQ$385:$AQ$432)</f>
        <v>3.3312448603675713</v>
      </c>
      <c r="AS315" s="7" cm="1">
        <f t="array" ref="AS315">SUMPRODUCT(--($AM$385:$AM$432=1),AS$332:AS$379,$AQ$385:$AQ$432)</f>
        <v>6.4289098296974476</v>
      </c>
      <c r="AT315" s="7" cm="1">
        <f t="array" ref="AT315">SUMPRODUCT(--($AM$385:$AM$432=1),AT$332:AT$379,$AQ$385:$AQ$432)</f>
        <v>6.3220649148618673</v>
      </c>
      <c r="AU315" s="7" cm="1">
        <f t="array" ref="AU315">SUMPRODUCT(--($AM$385:$AM$432=1),AU$332:AU$379,$AQ$385:$AQ$432)</f>
        <v>10.100373896835031</v>
      </c>
      <c r="AV315" s="7" cm="1">
        <f t="array" ref="AV315">SUMPRODUCT(--($AM$385:$AM$432=1),AV$332:AV$379,$AQ$385:$AQ$432)</f>
        <v>8.2139934691477627</v>
      </c>
    </row>
    <row r="316" spans="1:48" ht="15.75">
      <c r="A316" s="82"/>
      <c r="B316" s="82"/>
      <c r="C316" s="82"/>
      <c r="D316" s="82"/>
      <c r="E316" s="82" t="s">
        <v>636</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SUMPRODUCT(--($AM$385:$AM$432=1),AR$332:AR$379,$AR$385:$AR$432)</f>
        <v>-0.24816496262440188</v>
      </c>
      <c r="AS316" s="7" cm="1">
        <f t="array" ref="AS316">SUMPRODUCT(--($AM$385:$AM$432=1),AS$332:AS$379,$AR$385:$AR$432)</f>
        <v>2.7873168331643279E-2</v>
      </c>
      <c r="AT316" s="7" cm="1">
        <f t="array" ref="AT316">SUMPRODUCT(--($AM$385:$AM$432=1),AT$332:AT$379,$AR$385:$AR$432)</f>
        <v>0.30973226850076352</v>
      </c>
      <c r="AU316" s="7" cm="1">
        <f t="array" ref="AU316">SUMPRODUCT(--($AM$385:$AM$432=1),AU$332:AU$379,$AR$385:$AR$432)</f>
        <v>0.55862991863498901</v>
      </c>
      <c r="AV316" s="7" cm="1">
        <f t="array" ref="AV316">SUMPRODUCT(--($AM$385:$AM$432=1),AV$332:AV$379,$AR$385:$AR$432)</f>
        <v>0.82287402830360579</v>
      </c>
    </row>
    <row r="317" spans="1:48" ht="15.75">
      <c r="A317" s="82"/>
      <c r="B317" s="82"/>
      <c r="C317" s="82"/>
      <c r="D317" s="82"/>
      <c r="E317" s="82" t="s">
        <v>637</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SUMPRODUCT(--($AM$385:$AM$432=1),AR$332:AR$379,$AS$385:$AS$432)</f>
        <v>-4.527333777607332E-2</v>
      </c>
      <c r="AS317" s="7" cm="1">
        <f t="array" ref="AS317">SUMPRODUCT(--($AM$385:$AM$432=1),AS$332:AS$379,$AS$385:$AS$432)</f>
        <v>5.0849698983403283E-3</v>
      </c>
      <c r="AT317" s="7" cm="1">
        <f t="array" ref="AT317">SUMPRODUCT(--($AM$385:$AM$432=1),AT$332:AT$379,$AS$385:$AS$432)</f>
        <v>5.6505211145409559E-2</v>
      </c>
      <c r="AU317" s="7" cm="1">
        <f t="array" ref="AU317">SUMPRODUCT(--($AM$385:$AM$432=1),AU$332:AU$379,$AS$385:$AS$432)</f>
        <v>0.10191221488611288</v>
      </c>
      <c r="AV317" s="7" cm="1">
        <f t="array" ref="AV317">SUMPRODUCT(--($AM$385:$AM$432=1),AV$332:AV$379,$AS$385:$AS$432)</f>
        <v>0.15011891056890106</v>
      </c>
    </row>
    <row r="318" spans="1:48" ht="15.75">
      <c r="A318" s="82"/>
      <c r="B318" s="82"/>
      <c r="C318" s="82"/>
      <c r="D318" s="82"/>
      <c r="E318" s="82" t="s">
        <v>638</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SUMPRODUCT(--($AM$385:$AM$432=1),AR$332:AR$379,$AT$385:$AT$432)</f>
        <v>-0.12802886653548007</v>
      </c>
      <c r="AS318" s="7" cm="1">
        <f t="array" ref="AS318">SUMPRODUCT(--($AM$385:$AM$432=1),AS$332:AS$379,$AT$385:$AT$432)</f>
        <v>1.4379830700170048E-2</v>
      </c>
      <c r="AT318" s="7" cm="1">
        <f t="array" ref="AT318">SUMPRODUCT(--($AM$385:$AM$432=1),AT$332:AT$379,$AT$385:$AT$432)</f>
        <v>0.1597915791425929</v>
      </c>
      <c r="AU318" s="7" cm="1">
        <f t="array" ref="AU318">SUMPRODUCT(--($AM$385:$AM$432=1),AU$332:AU$379,$AT$385:$AT$432)</f>
        <v>0.28819844082458929</v>
      </c>
      <c r="AV318" s="7" cm="1">
        <f t="array" ref="AV318">SUMPRODUCT(--($AM$385:$AM$432=1),AV$332:AV$379,$AT$385:$AT$432)</f>
        <v>0.42452257575395552</v>
      </c>
    </row>
    <row r="319" spans="1:48" ht="15.75">
      <c r="A319" s="82"/>
      <c r="B319" s="82"/>
      <c r="C319" s="82"/>
      <c r="D319" s="82"/>
      <c r="E319" s="82" t="s">
        <v>639</v>
      </c>
      <c r="F319" s="268"/>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m="1">
        <f t="array" ref="AR319">SUMPRODUCT(--($AM$385:$AM$432=1),AR$332:AR$379,$AU$385:$AU$432)</f>
        <v>4.1501926191838354</v>
      </c>
      <c r="AS319" s="7" cm="1">
        <f t="array" ref="AS319">SUMPRODUCT(--($AM$385:$AM$432=1),AS$332:AS$379,$AU$385:$AU$432)</f>
        <v>4.5322954631870669</v>
      </c>
      <c r="AT319" s="7" cm="1">
        <f t="array" ref="AT319">SUMPRODUCT(--($AM$385:$AM$432=1),AT$332:AT$379,$AU$385:$AU$432)</f>
        <v>4.9078498368550418</v>
      </c>
      <c r="AU319" s="7" cm="1">
        <f t="array" ref="AU319">SUMPRODUCT(--($AM$385:$AM$432=1),AU$332:AU$379,$AU$385:$AU$432)</f>
        <v>4.7106090702309178</v>
      </c>
      <c r="AV319" s="7" cm="1">
        <f t="array" ref="AV319">SUMPRODUCT(--($AM$385:$AM$432=1),AV$332:AV$379,$AU$385:$AU$432)</f>
        <v>5.7551961432406396</v>
      </c>
    </row>
    <row r="320" spans="1:48" ht="15.75">
      <c r="A320" s="82"/>
      <c r="B320" s="82"/>
      <c r="C320" s="82"/>
      <c r="D320" s="82"/>
      <c r="E320" s="82"/>
      <c r="F320" s="268"/>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5">
      <c r="A321" s="82"/>
      <c r="B321" s="82"/>
      <c r="C321" s="82"/>
      <c r="D321" s="82"/>
      <c r="E321" s="259"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1"/>
      <c r="AS321" s="251"/>
      <c r="AT321" s="251"/>
      <c r="AU321" s="251"/>
      <c r="AV321" s="251"/>
    </row>
    <row r="322" spans="1:48" ht="15.75">
      <c r="A322" s="82"/>
      <c r="B322" s="82"/>
      <c r="C322" s="82"/>
      <c r="D322" s="82"/>
      <c r="E322" s="82" t="s">
        <v>633</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SUMPRODUCT(--($AM$385:$AM$432=2),AR$332:AR$379,$AO$385:$AO$432)</f>
        <v>13.675886457475087</v>
      </c>
      <c r="AS322" s="7" cm="1">
        <f t="array" ref="AS322">SUMPRODUCT(--($AM$385:$AM$432=2),AS$332:AS$379,$AO$385:$AO$432)</f>
        <v>16.326554801999361</v>
      </c>
      <c r="AT322" s="7" cm="1">
        <f t="array" ref="AT322">SUMPRODUCT(--($AM$385:$AM$432=2),AT$332:AT$379,$AO$385:$AO$432)</f>
        <v>34.739083148252014</v>
      </c>
      <c r="AU322" s="7" cm="1">
        <f t="array" ref="AU322">SUMPRODUCT(--($AM$385:$AM$432=2),AU$332:AU$379,$AO$385:$AO$432)</f>
        <v>44.031150401452457</v>
      </c>
      <c r="AV322" s="7" cm="1">
        <f t="array" ref="AV322">SUMPRODUCT(--($AM$385:$AM$432=2),AV$332:AV$379,$AO$385:$AO$432)</f>
        <v>53.566562860618809</v>
      </c>
    </row>
    <row r="323" spans="1:48" ht="15.75">
      <c r="A323" s="82"/>
      <c r="B323" s="82"/>
      <c r="C323" s="82"/>
      <c r="D323" s="82"/>
      <c r="E323" s="82" t="s">
        <v>634</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SUMPRODUCT(--($AM$385:$AM$432=2),AR$332:AR$379,$AP$385:$AP$432)</f>
        <v>5.3283978029029573</v>
      </c>
      <c r="AS323" s="7" cm="1">
        <f t="array" ref="AS323">SUMPRODUCT(--($AM$385:$AM$432=2),AS$332:AS$379,$AP$385:$AP$432)</f>
        <v>9.4174192221270534</v>
      </c>
      <c r="AT323" s="7" cm="1">
        <f t="array" ref="AT323">SUMPRODUCT(--($AM$385:$AM$432=2),AT$332:AT$379,$AP$385:$AP$432)</f>
        <v>13.547138299475733</v>
      </c>
      <c r="AU323" s="7" cm="1">
        <f t="array" ref="AU323">SUMPRODUCT(--($AM$385:$AM$432=2),AU$332:AU$379,$AP$385:$AP$432)</f>
        <v>13.190733830866995</v>
      </c>
      <c r="AV323" s="7" cm="1">
        <f t="array" ref="AV323">SUMPRODUCT(--($AM$385:$AM$432=2),AV$332:AV$379,$AP$385:$AP$432)</f>
        <v>13.035180250494065</v>
      </c>
    </row>
    <row r="324" spans="1:48" ht="15.75">
      <c r="A324" s="82"/>
      <c r="B324" s="82"/>
      <c r="C324" s="82"/>
      <c r="D324" s="82"/>
      <c r="E324" s="82" t="s">
        <v>635</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SUMPRODUCT(--($AM$385:$AM$432=2),AR$332:AR$379,$AQ$385:$AQ$432)</f>
        <v>6.2</v>
      </c>
      <c r="AS324" s="7" cm="1">
        <f t="array" ref="AS324">SUMPRODUCT(--($AM$385:$AM$432=2),AS$332:AS$379,$AQ$385:$AQ$432)</f>
        <v>3.5757591578334003</v>
      </c>
      <c r="AT324" s="7" cm="1">
        <f t="array" ref="AT324">SUMPRODUCT(--($AM$385:$AM$432=2),AT$332:AT$379,$AQ$385:$AQ$432)</f>
        <v>2.0931619895870548</v>
      </c>
      <c r="AU324" s="7" cm="1">
        <f t="array" ref="AU324">SUMPRODUCT(--($AM$385:$AM$432=2),AU$332:AU$379,$AQ$385:$AQ$432)</f>
        <v>1.6215564051016722</v>
      </c>
      <c r="AV324" s="7" cm="1">
        <f t="array" ref="AV324">SUMPRODUCT(--($AM$385:$AM$432=2),AV$332:AV$379,$AQ$385:$AQ$432)</f>
        <v>1.1749211141363789</v>
      </c>
    </row>
    <row r="325" spans="1:48" ht="15.75">
      <c r="A325" s="82"/>
      <c r="B325" s="82"/>
      <c r="C325" s="82"/>
      <c r="D325" s="82"/>
      <c r="E325" s="82" t="s">
        <v>636</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SUMPRODUCT(--($AM$385:$AM$432=2),AR$332:AR$379,$AR$385:$AR$432)</f>
        <v>0</v>
      </c>
      <c r="AS325" s="7" cm="1">
        <f t="array" ref="AS325">SUMPRODUCT(--($AM$385:$AM$432=2),AS$332:AS$379,$AR$385:$AR$432)</f>
        <v>3.8956539780320681E-2</v>
      </c>
      <c r="AT325" s="7" cm="1">
        <f t="array" ref="AT325">SUMPRODUCT(--($AM$385:$AM$432=2),AT$332:AT$379,$AR$385:$AR$432)</f>
        <v>3.5528364279652456</v>
      </c>
      <c r="AU325" s="7" cm="1">
        <f t="array" ref="AU325">SUMPRODUCT(--($AM$385:$AM$432=2),AU$332:AU$379,$AR$385:$AR$432)</f>
        <v>4.0203149053290943</v>
      </c>
      <c r="AV325" s="7" cm="1">
        <f t="array" ref="AV325">SUMPRODUCT(--($AM$385:$AM$432=2),AV$332:AV$379,$AR$385:$AR$432)</f>
        <v>12.318057878537399</v>
      </c>
    </row>
    <row r="326" spans="1:48" ht="15.75">
      <c r="A326" s="82"/>
      <c r="B326" s="82"/>
      <c r="C326" s="82"/>
      <c r="D326" s="82"/>
      <c r="E326" s="82" t="s">
        <v>637</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SUMPRODUCT(--($AM$385:$AM$432=2),AR$332:AR$379,$AS$385:$AS$432)</f>
        <v>0</v>
      </c>
      <c r="AS326" s="7" cm="1">
        <f t="array" ref="AS326">SUMPRODUCT(--($AM$385:$AM$432=2),AS$332:AS$379,$AS$385:$AS$432)</f>
        <v>0</v>
      </c>
      <c r="AT326" s="7" cm="1">
        <f t="array" ref="AT326">SUMPRODUCT(--($AM$385:$AM$432=2),AT$332:AT$379,$AS$385:$AS$432)</f>
        <v>0</v>
      </c>
      <c r="AU326" s="7" cm="1">
        <f t="array" ref="AU326">SUMPRODUCT(--($AM$385:$AM$432=2),AU$332:AU$379,$AS$385:$AS$432)</f>
        <v>0</v>
      </c>
      <c r="AV326" s="7" cm="1">
        <f t="array" ref="AV326">SUMPRODUCT(--($AM$385:$AM$432=2),AV$332:AV$379,$AS$385:$AS$432)</f>
        <v>0</v>
      </c>
    </row>
    <row r="327" spans="1:48" ht="15.75">
      <c r="A327" s="82"/>
      <c r="B327" s="82"/>
      <c r="C327" s="82"/>
      <c r="D327" s="82"/>
      <c r="E327" s="82" t="s">
        <v>638</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SUMPRODUCT(--($AM$385:$AM$432=2),AR$332:AR$379,$AT$385:$AT$432)</f>
        <v>0</v>
      </c>
      <c r="AS327" s="7" cm="1">
        <f t="array" ref="AS327">SUMPRODUCT(--($AM$385:$AM$432=2),AS$332:AS$379,$AT$385:$AT$432)</f>
        <v>0</v>
      </c>
      <c r="AT327" s="7" cm="1">
        <f t="array" ref="AT327">SUMPRODUCT(--($AM$385:$AM$432=2),AT$332:AT$379,$AT$385:$AT$432)</f>
        <v>0</v>
      </c>
      <c r="AU327" s="7" cm="1">
        <f t="array" ref="AU327">SUMPRODUCT(--($AM$385:$AM$432=2),AU$332:AU$379,$AT$385:$AT$432)</f>
        <v>0</v>
      </c>
      <c r="AV327" s="7" cm="1">
        <f t="array" ref="AV327">SUMPRODUCT(--($AM$385:$AM$432=2),AV$332:AV$379,$AT$385:$AT$432)</f>
        <v>0</v>
      </c>
    </row>
    <row r="328" spans="1:48" ht="15.75">
      <c r="A328" s="82"/>
      <c r="B328" s="82"/>
      <c r="C328" s="82"/>
      <c r="D328" s="82"/>
      <c r="E328" s="82" t="s">
        <v>639</v>
      </c>
      <c r="F328" s="268"/>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SUMPRODUCT(--($AM$385:$AM$432=2),AR$332:AR$379,$AU$385:$AU$432)</f>
        <v>6.8359296310805924</v>
      </c>
      <c r="AS328" s="7" cm="1">
        <f t="array" ref="AS328">SUMPRODUCT(--($AM$385:$AM$432=2),AS$332:AS$379,$AU$385:$AU$432)</f>
        <v>5.3879278508393451</v>
      </c>
      <c r="AT328" s="7" cm="1">
        <f t="array" ref="AT328">SUMPRODUCT(--($AM$385:$AM$432=2),AT$332:AT$379,$AU$385:$AU$432)</f>
        <v>6.8574644673089402</v>
      </c>
      <c r="AU328" s="7" cm="1">
        <f t="array" ref="AU328">SUMPRODUCT(--($AM$385:$AM$432=2),AU$332:AU$379,$AU$385:$AU$432)</f>
        <v>7.3412065771710253</v>
      </c>
      <c r="AV328" s="7" cm="1">
        <f t="array" ref="AV328">SUMPRODUCT(--($AM$385:$AM$432=2),AV$332:AV$379,$AU$385:$AU$432)</f>
        <v>8.0016321212820269</v>
      </c>
    </row>
    <row r="329" spans="1:48" ht="15.75">
      <c r="A329" s="82"/>
      <c r="B329" s="82"/>
      <c r="C329" s="82"/>
      <c r="D329" s="82"/>
      <c r="E329" s="82"/>
      <c r="F329" s="268"/>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311"/>
      <c r="AQ329" s="147"/>
      <c r="AR329" s="7"/>
      <c r="AS329" s="7"/>
      <c r="AT329" s="7"/>
      <c r="AU329" s="7"/>
      <c r="AV329" s="7"/>
    </row>
    <row r="330" spans="1:48" ht="15">
      <c r="A330" s="2"/>
      <c r="B330" s="2"/>
      <c r="C330" s="28" t="s">
        <v>643</v>
      </c>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9"/>
      <c r="AR330" s="28"/>
      <c r="AS330" s="28"/>
      <c r="AT330" s="28"/>
      <c r="AU330" s="28"/>
      <c r="AV330" s="28"/>
    </row>
    <row r="331" spans="1:48" ht="15">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82"/>
      <c r="AS331" s="82"/>
      <c r="AT331" s="82"/>
      <c r="AU331" s="82"/>
      <c r="AV331" s="82"/>
    </row>
    <row r="332" spans="1:48" ht="15">
      <c r="A332" s="82"/>
      <c r="B332" s="82"/>
      <c r="C332" s="82"/>
      <c r="D332" s="82"/>
      <c r="E332" s="82" t="str">
        <f>SelectedInputs!E24</f>
        <v>RPEs (bucket 1 allowances)</v>
      </c>
      <c r="F332" s="82"/>
      <c r="G332" s="2" t="s">
        <v>105</v>
      </c>
      <c r="H332" s="82" t="str">
        <f>SelectedInputs!H24</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ref="AN332:AN379" si="14">AM385</f>
        <v>1</v>
      </c>
      <c r="AO332" s="523">
        <f t="shared" ref="AO332:AO379" si="15">SUM(AO385:AU385)</f>
        <v>1</v>
      </c>
      <c r="AP332" s="352">
        <f t="shared" ref="AP332:AP379" si="16">SUM(AR332:AV332)</f>
        <v>15.968460999999952</v>
      </c>
      <c r="AQ332" s="147"/>
      <c r="AR332" s="8">
        <f>SelectedInputs!AR24</f>
        <v>-2.694059999999999</v>
      </c>
      <c r="AS332" s="8">
        <f>SelectedInputs!AS24</f>
        <v>0.30258899999996663</v>
      </c>
      <c r="AT332" s="8">
        <f>SelectedInputs!AT24</f>
        <v>3.3624299999999958</v>
      </c>
      <c r="AU332" s="8">
        <f>SelectedInputs!AU24</f>
        <v>6.0644439999999991</v>
      </c>
      <c r="AV332" s="8">
        <f>SelectedInputs!AV24</f>
        <v>8.9330579999999884</v>
      </c>
    </row>
    <row r="333" spans="1:48" ht="15">
      <c r="A333" s="82"/>
      <c r="B333" s="82"/>
      <c r="C333" s="82"/>
      <c r="D333" s="82"/>
      <c r="E333" s="82" t="str">
        <f>SelectedInputs!E25</f>
        <v>RPEs (bucket 2 allowances)</v>
      </c>
      <c r="F333" s="82"/>
      <c r="G333" s="2" t="s">
        <v>105</v>
      </c>
      <c r="H333" s="82" t="str">
        <f>SelectedInputs!H25</f>
        <v>RPEAt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0.94164531193732715</v>
      </c>
      <c r="AQ333" s="147"/>
      <c r="AR333" s="8">
        <f>SelectedInputs!AR25</f>
        <v>-0.10551196864411216</v>
      </c>
      <c r="AS333" s="8">
        <f>SelectedInputs!AS25</f>
        <v>1.2982184737719003E-2</v>
      </c>
      <c r="AT333" s="8">
        <f>SelectedInputs!AT25</f>
        <v>0.1905815233674025</v>
      </c>
      <c r="AU333" s="8">
        <f>SelectedInputs!AU25</f>
        <v>0.28737365575449114</v>
      </c>
      <c r="AV333" s="8">
        <f>SelectedInputs!AV25</f>
        <v>0.55621991672182669</v>
      </c>
    </row>
    <row r="334" spans="1:48" ht="15">
      <c r="A334" s="82"/>
      <c r="B334" s="82"/>
      <c r="C334" s="82"/>
      <c r="D334" s="82"/>
      <c r="E334" s="82" t="str">
        <f>SelectedInputs!E26</f>
        <v>Physical Security Re-opener</v>
      </c>
      <c r="F334" s="82"/>
      <c r="G334" s="2" t="s">
        <v>105</v>
      </c>
      <c r="H334" s="82" t="str">
        <f>SelectedInputs!H26</f>
        <v>PSUPt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SelectedInputs!AR26</f>
        <v>0</v>
      </c>
      <c r="AS334" s="8">
        <f>SelectedInputs!AS26</f>
        <v>0</v>
      </c>
      <c r="AT334" s="8">
        <f>SelectedInputs!AT26</f>
        <v>0</v>
      </c>
      <c r="AU334" s="8">
        <f>SelectedInputs!AU26</f>
        <v>0</v>
      </c>
      <c r="AV334" s="8">
        <f>SelectedInputs!AV26</f>
        <v>0</v>
      </c>
    </row>
    <row r="335" spans="1:48" ht="15">
      <c r="A335" s="82"/>
      <c r="B335" s="82"/>
      <c r="C335" s="82"/>
      <c r="D335" s="82"/>
      <c r="E335" s="82" t="str">
        <f>SelectedInputs!E27</f>
        <v>Specified Street Works Costs Re-opener</v>
      </c>
      <c r="F335" s="82"/>
      <c r="G335" s="2" t="s">
        <v>105</v>
      </c>
      <c r="H335" s="82" t="str">
        <f>SelectedInputs!H27</f>
        <v>SWRt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SelectedInputs!AR27</f>
        <v>0</v>
      </c>
      <c r="AS335" s="8">
        <f>SelectedInputs!AS27</f>
        <v>0</v>
      </c>
      <c r="AT335" s="8">
        <f>SelectedInputs!AT27</f>
        <v>0</v>
      </c>
      <c r="AU335" s="8">
        <f>SelectedInputs!AU27</f>
        <v>0</v>
      </c>
      <c r="AV335" s="8">
        <f>SelectedInputs!AV27</f>
        <v>0</v>
      </c>
    </row>
    <row r="336" spans="1:48" ht="15">
      <c r="A336" s="82"/>
      <c r="B336" s="82"/>
      <c r="C336" s="82"/>
      <c r="D336" s="82"/>
      <c r="E336" s="82" t="str">
        <f>SelectedInputs!E28</f>
        <v>Rail Electrification Costs Re-opener</v>
      </c>
      <c r="F336" s="82"/>
      <c r="G336" s="2" t="s">
        <v>105</v>
      </c>
      <c r="H336" s="82" t="str">
        <f>SelectedInputs!H28</f>
        <v>RECt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SelectedInputs!AR28</f>
        <v>0</v>
      </c>
      <c r="AS336" s="8">
        <f>SelectedInputs!AS28</f>
        <v>0</v>
      </c>
      <c r="AT336" s="8">
        <f>SelectedInputs!AT28</f>
        <v>0</v>
      </c>
      <c r="AU336" s="8">
        <f>SelectedInputs!AU28</f>
        <v>0</v>
      </c>
      <c r="AV336" s="8">
        <f>SelectedInputs!AV28</f>
        <v>0</v>
      </c>
    </row>
    <row r="337" spans="1:48" ht="15">
      <c r="A337" s="82"/>
      <c r="B337" s="82"/>
      <c r="C337" s="82"/>
      <c r="D337" s="82"/>
      <c r="E337" s="82" t="str">
        <f>SelectedInputs!E29</f>
        <v>Net Zero Re-opener</v>
      </c>
      <c r="F337" s="82"/>
      <c r="G337" s="2" t="s">
        <v>105</v>
      </c>
      <c r="H337" s="82" t="str">
        <f>SelectedInputs!H29</f>
        <v>NZt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SelectedInputs!AR29</f>
        <v>0</v>
      </c>
      <c r="AS337" s="8">
        <f>SelectedInputs!AS29</f>
        <v>0</v>
      </c>
      <c r="AT337" s="8">
        <f>SelectedInputs!AT29</f>
        <v>0</v>
      </c>
      <c r="AU337" s="8">
        <f>SelectedInputs!AU29</f>
        <v>0</v>
      </c>
      <c r="AV337" s="8">
        <f>SelectedInputs!AV29</f>
        <v>0</v>
      </c>
    </row>
    <row r="338" spans="1:48" ht="15">
      <c r="A338" s="82"/>
      <c r="B338" s="82"/>
      <c r="C338" s="82"/>
      <c r="D338" s="82"/>
      <c r="E338" s="82" t="str">
        <f>SelectedInputs!E30</f>
        <v>Coordinated Adjustment Mechanism Re-opener</v>
      </c>
      <c r="F338" s="82"/>
      <c r="G338" s="2" t="s">
        <v>105</v>
      </c>
      <c r="H338" s="82" t="str">
        <f>SelectedInputs!H30</f>
        <v>CAMt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SelectedInputs!AR30</f>
        <v>0</v>
      </c>
      <c r="AS338" s="8">
        <f>SelectedInputs!AS30</f>
        <v>0</v>
      </c>
      <c r="AT338" s="8">
        <f>SelectedInputs!AT30</f>
        <v>0</v>
      </c>
      <c r="AU338" s="8">
        <f>SelectedInputs!AU30</f>
        <v>0</v>
      </c>
      <c r="AV338" s="8">
        <f>SelectedInputs!AV30</f>
        <v>0</v>
      </c>
    </row>
    <row r="339" spans="1:48" ht="15">
      <c r="A339" s="82"/>
      <c r="B339" s="82"/>
      <c r="C339" s="82"/>
      <c r="D339" s="82"/>
      <c r="E339" s="82" t="str">
        <f>SelectedInputs!E31</f>
        <v>Electricity System Restoration Re-opener</v>
      </c>
      <c r="F339" s="82"/>
      <c r="G339" s="2" t="s">
        <v>105</v>
      </c>
      <c r="H339" s="82" t="str">
        <f>SelectedInputs!H31</f>
        <v>ESRt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3.8956539780320716</v>
      </c>
      <c r="AQ339" s="147"/>
      <c r="AR339" s="8">
        <f>SelectedInputs!AR31</f>
        <v>0</v>
      </c>
      <c r="AS339" s="8">
        <f>SelectedInputs!AS31</f>
        <v>0.38956539780320992</v>
      </c>
      <c r="AT339" s="8">
        <f>SelectedInputs!AT31</f>
        <v>1.1686961934096205</v>
      </c>
      <c r="AU339" s="8">
        <f>SelectedInputs!AU31</f>
        <v>2.337392386819241</v>
      </c>
      <c r="AV339" s="8">
        <f>SelectedInputs!AV31</f>
        <v>0</v>
      </c>
    </row>
    <row r="340" spans="1:48" ht="15">
      <c r="A340" s="82"/>
      <c r="B340" s="82"/>
      <c r="C340" s="82"/>
      <c r="D340" s="82"/>
      <c r="E340" s="82" t="str">
        <f>SelectedInputs!E32</f>
        <v>Environmental Re-opener</v>
      </c>
      <c r="F340" s="82"/>
      <c r="G340" s="2" t="s">
        <v>105</v>
      </c>
      <c r="H340" s="82" t="str">
        <f>SelectedInputs!H32</f>
        <v>EVRt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2</v>
      </c>
      <c r="AO340" s="523">
        <f t="shared" si="15"/>
        <v>1</v>
      </c>
      <c r="AP340" s="352">
        <f t="shared" si="16"/>
        <v>0</v>
      </c>
      <c r="AQ340" s="147"/>
      <c r="AR340" s="8">
        <f>SelectedInputs!AR32</f>
        <v>0</v>
      </c>
      <c r="AS340" s="8">
        <f>SelectedInputs!AS32</f>
        <v>0</v>
      </c>
      <c r="AT340" s="8">
        <f>SelectedInputs!AT32</f>
        <v>0</v>
      </c>
      <c r="AU340" s="8">
        <f>SelectedInputs!AU32</f>
        <v>0</v>
      </c>
      <c r="AV340" s="8">
        <f>SelectedInputs!AV32</f>
        <v>0</v>
      </c>
    </row>
    <row r="341" spans="1:48" ht="15">
      <c r="A341" s="82"/>
      <c r="B341" s="82"/>
      <c r="C341" s="82"/>
      <c r="D341" s="82"/>
      <c r="E341" s="82" t="str">
        <f>SelectedInputs!E33</f>
        <v>Network Asset Risk Metric Expenditure</v>
      </c>
      <c r="F341" s="82"/>
      <c r="G341" s="2" t="s">
        <v>105</v>
      </c>
      <c r="H341" s="82" t="str">
        <f>SelectedInputs!H33</f>
        <v>NARMt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1</v>
      </c>
      <c r="AO341" s="523">
        <f t="shared" si="15"/>
        <v>1</v>
      </c>
      <c r="AP341" s="352">
        <f t="shared" si="16"/>
        <v>177.86</v>
      </c>
      <c r="AQ341" s="147"/>
      <c r="AR341" s="8">
        <f>SelectedInputs!AR33</f>
        <v>34.97</v>
      </c>
      <c r="AS341" s="8">
        <f>SelectedInputs!AS33</f>
        <v>36.119999999999997</v>
      </c>
      <c r="AT341" s="8">
        <f>SelectedInputs!AT33</f>
        <v>37.39</v>
      </c>
      <c r="AU341" s="8">
        <f>SelectedInputs!AU33</f>
        <v>35.880000000000003</v>
      </c>
      <c r="AV341" s="8">
        <f>SelectedInputs!AV33</f>
        <v>33.5</v>
      </c>
    </row>
    <row r="342" spans="1:48" ht="15">
      <c r="A342" s="82"/>
      <c r="B342" s="82"/>
      <c r="C342" s="82"/>
      <c r="D342" s="82"/>
      <c r="E342" s="82" t="str">
        <f>SelectedInputs!E34</f>
        <v>Load Related Expenditure: Secondary Reinforcement</v>
      </c>
      <c r="F342" s="82"/>
      <c r="G342" s="2" t="s">
        <v>105</v>
      </c>
      <c r="H342" s="82" t="str">
        <f>SelectedInputs!H34</f>
        <v>SRVDt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24.896241424073754</v>
      </c>
      <c r="AQ342" s="147"/>
      <c r="AR342" s="8">
        <f>SelectedInputs!AR34</f>
        <v>4.688060613712743</v>
      </c>
      <c r="AS342" s="8">
        <f>SelectedInputs!AS34</f>
        <v>3.4258453931345025</v>
      </c>
      <c r="AT342" s="8">
        <f>SelectedInputs!AT34</f>
        <v>4.1764492454201383</v>
      </c>
      <c r="AU342" s="8">
        <f>SelectedInputs!AU34</f>
        <v>5.3930657023653854</v>
      </c>
      <c r="AV342" s="8">
        <f>SelectedInputs!AV34</f>
        <v>7.2128204694409881</v>
      </c>
    </row>
    <row r="343" spans="1:48" ht="15">
      <c r="A343" s="82"/>
      <c r="B343" s="82"/>
      <c r="C343" s="82"/>
      <c r="D343" s="82"/>
      <c r="E343" s="82" t="str">
        <f>SelectedInputs!E35</f>
        <v>Load Related Expenditure: Low Voltage Services</v>
      </c>
      <c r="F343" s="82"/>
      <c r="G343" s="2" t="s">
        <v>105</v>
      </c>
      <c r="H343" s="82" t="str">
        <f>SelectedInputs!H35</f>
        <v>LVSVDt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36.678086425022258</v>
      </c>
      <c r="AQ343" s="147"/>
      <c r="AR343" s="8">
        <f>SelectedInputs!AR35</f>
        <v>4.8996620333747156</v>
      </c>
      <c r="AS343" s="8">
        <f>SelectedInputs!AS35</f>
        <v>5.4124963481908734</v>
      </c>
      <c r="AT343" s="8">
        <f>SelectedInputs!AT35</f>
        <v>7.0040776715318964</v>
      </c>
      <c r="AU343" s="8">
        <f>SelectedInputs!AU35</f>
        <v>8.3975493798681349</v>
      </c>
      <c r="AV343" s="8">
        <f>SelectedInputs!AV35</f>
        <v>10.964300992056639</v>
      </c>
    </row>
    <row r="344" spans="1:48" ht="15">
      <c r="A344" s="82"/>
      <c r="B344" s="82"/>
      <c r="C344" s="82"/>
      <c r="D344" s="82"/>
      <c r="E344" s="82" t="str">
        <f>SelectedInputs!E36</f>
        <v>Load Related Expenditure Re-opener</v>
      </c>
      <c r="F344" s="82"/>
      <c r="G344" s="2" t="s">
        <v>105</v>
      </c>
      <c r="H344" s="82" t="str">
        <f>SelectedInputs!H36</f>
        <v>LREt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522">
        <f t="shared" si="14"/>
        <v>2</v>
      </c>
      <c r="AO344" s="523">
        <f t="shared" si="15"/>
        <v>1</v>
      </c>
      <c r="AP344" s="352">
        <f t="shared" si="16"/>
        <v>100.02666119646014</v>
      </c>
      <c r="AQ344" s="147"/>
      <c r="AR344" s="8">
        <f>SelectedInputs!AR36</f>
        <v>4.1708850481032158</v>
      </c>
      <c r="AS344" s="8">
        <f>SelectedInputs!AS36</f>
        <v>7.4780350457667035</v>
      </c>
      <c r="AT344" s="8">
        <f>SelectedInputs!AT36</f>
        <v>23.409140580153817</v>
      </c>
      <c r="AU344" s="8">
        <f>SelectedInputs!AU36</f>
        <v>30.015234769941479</v>
      </c>
      <c r="AV344" s="8">
        <f>SelectedInputs!AV36</f>
        <v>34.953365752494932</v>
      </c>
    </row>
    <row r="345" spans="1:48" ht="15">
      <c r="A345" s="82"/>
      <c r="B345" s="82"/>
      <c r="C345" s="82"/>
      <c r="D345" s="82"/>
      <c r="E345" s="82" t="str">
        <f>SelectedInputs!E37</f>
        <v>Digitalisation Re-opener</v>
      </c>
      <c r="F345" s="82"/>
      <c r="G345" s="2" t="s">
        <v>105</v>
      </c>
      <c r="H345" s="82" t="str">
        <f>SelectedInputs!H37</f>
        <v>DIGIt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3.8833437114614862</v>
      </c>
      <c r="AQ345" s="147"/>
      <c r="AR345" s="8">
        <f>SelectedInputs!AR37</f>
        <v>0</v>
      </c>
      <c r="AS345" s="8">
        <f>SelectedInputs!AS37</f>
        <v>2.3715183156668016</v>
      </c>
      <c r="AT345" s="8">
        <f>SelectedInputs!AT37</f>
        <v>0.79050610522226716</v>
      </c>
      <c r="AU345" s="8">
        <f>SelectedInputs!AU37</f>
        <v>0.7072949362515023</v>
      </c>
      <c r="AV345" s="8">
        <f>SelectedInputs!AV37</f>
        <v>1.4024354320915445E-2</v>
      </c>
    </row>
    <row r="346" spans="1:48" ht="15">
      <c r="A346" s="82"/>
      <c r="B346" s="82"/>
      <c r="C346" s="82"/>
      <c r="D346" s="82"/>
      <c r="E346" s="82" t="str">
        <f>SelectedInputs!E38</f>
        <v>PCB Interventions</v>
      </c>
      <c r="F346" s="82"/>
      <c r="G346" s="2" t="s">
        <v>105</v>
      </c>
      <c r="H346" s="82" t="str">
        <f>SelectedInputs!H38</f>
        <v>PCBt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2</v>
      </c>
      <c r="AO346" s="523">
        <f t="shared" si="15"/>
        <v>1</v>
      </c>
      <c r="AP346" s="352">
        <f t="shared" si="16"/>
        <v>16.964493966331837</v>
      </c>
      <c r="AQ346" s="147"/>
      <c r="AR346" s="8">
        <f>SelectedInputs!AR38</f>
        <v>3.4384463213214569</v>
      </c>
      <c r="AS346" s="8">
        <f>SelectedInputs!AS38</f>
        <v>5.5863079672528828</v>
      </c>
      <c r="AT346" s="8">
        <f>SelectedInputs!AT38</f>
        <v>7.5039361582835298</v>
      </c>
      <c r="AU346" s="8">
        <f>SelectedInputs!AU38</f>
        <v>0.43580351947396673</v>
      </c>
      <c r="AV346" s="8">
        <f>SelectedInputs!AV38</f>
        <v>0</v>
      </c>
    </row>
    <row r="347" spans="1:48" ht="15">
      <c r="A347" s="82"/>
      <c r="B347" s="82"/>
      <c r="C347" s="82"/>
      <c r="D347" s="82"/>
      <c r="E347" s="82" t="str">
        <f>SelectedInputs!E39</f>
        <v>Visual Amenity Projects</v>
      </c>
      <c r="F347" s="82"/>
      <c r="G347" s="2" t="s">
        <v>105</v>
      </c>
      <c r="H347" s="82" t="str">
        <f>SelectedInputs!H39</f>
        <v>VAPt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6.4114839183746071</v>
      </c>
      <c r="AQ347" s="147"/>
      <c r="AR347" s="8">
        <f>SelectedInputs!AR39</f>
        <v>1.0716019323746644</v>
      </c>
      <c r="AS347" s="8">
        <f>SelectedInputs!AS39</f>
        <v>1.4092917830928826</v>
      </c>
      <c r="AT347" s="8">
        <f>SelectedInputs!AT39</f>
        <v>1.4092917830928808</v>
      </c>
      <c r="AU347" s="8">
        <f>SelectedInputs!AU39</f>
        <v>1.2731308852527041</v>
      </c>
      <c r="AV347" s="8">
        <f>SelectedInputs!AV39</f>
        <v>1.2481675345614747</v>
      </c>
    </row>
    <row r="348" spans="1:48" ht="15">
      <c r="A348" s="82"/>
      <c r="B348" s="82"/>
      <c r="C348" s="82"/>
      <c r="D348" s="82"/>
      <c r="E348" s="82" t="str">
        <f>SelectedInputs!E40</f>
        <v>Cyber Resilience OT baseline</v>
      </c>
      <c r="F348" s="82"/>
      <c r="G348" s="2" t="s">
        <v>105</v>
      </c>
      <c r="H348" s="82" t="str">
        <f>SelectedInputs!H40</f>
        <v>CROTt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362"/>
      <c r="AM348" s="362"/>
      <c r="AN348" s="522">
        <f t="shared" si="14"/>
        <v>1</v>
      </c>
      <c r="AO348" s="523">
        <f t="shared" si="15"/>
        <v>1</v>
      </c>
      <c r="AP348" s="352">
        <f t="shared" si="16"/>
        <v>5.879999999999999</v>
      </c>
      <c r="AQ348" s="147"/>
      <c r="AR348" s="8">
        <f>SelectedInputs!AR40</f>
        <v>1.79</v>
      </c>
      <c r="AS348" s="8">
        <f>SelectedInputs!AS40</f>
        <v>1.78</v>
      </c>
      <c r="AT348" s="8">
        <f>SelectedInputs!AT40</f>
        <v>0.77</v>
      </c>
      <c r="AU348" s="8">
        <f>SelectedInputs!AU40</f>
        <v>0.77</v>
      </c>
      <c r="AV348" s="8">
        <f>SelectedInputs!AV40</f>
        <v>0.77</v>
      </c>
    </row>
    <row r="349" spans="1:48" ht="15">
      <c r="A349" s="82"/>
      <c r="B349" s="82"/>
      <c r="C349" s="82"/>
      <c r="D349" s="82"/>
      <c r="E349" s="82" t="str">
        <f>SelectedInputs!E41</f>
        <v>Cyber Resilience OT Re-opener</v>
      </c>
      <c r="F349" s="82"/>
      <c r="G349" s="2" t="s">
        <v>105</v>
      </c>
      <c r="H349" s="82" t="str">
        <f>SelectedInputs!H41</f>
        <v>CROTREt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12.723726810927763</v>
      </c>
      <c r="AQ349" s="147"/>
      <c r="AR349" s="8">
        <f>SelectedInputs!AR41</f>
        <v>6.2</v>
      </c>
      <c r="AS349" s="8">
        <f>SelectedInputs!AS41</f>
        <v>2.3899999999999997</v>
      </c>
      <c r="AT349" s="8">
        <f>SelectedInputs!AT41</f>
        <v>1.6979089369759213</v>
      </c>
      <c r="AU349" s="8">
        <f>SelectedInputs!AU41</f>
        <v>1.2679089369759211</v>
      </c>
      <c r="AV349" s="8">
        <f>SelectedInputs!AV41</f>
        <v>1.1679089369759212</v>
      </c>
    </row>
    <row r="350" spans="1:48" ht="15">
      <c r="A350" s="82"/>
      <c r="B350" s="82"/>
      <c r="C350" s="82"/>
      <c r="D350" s="82"/>
      <c r="E350" s="82" t="str">
        <f>SelectedInputs!E42</f>
        <v>Cyber Resilience IT Re-opener</v>
      </c>
      <c r="F350" s="82"/>
      <c r="G350" s="2" t="s">
        <v>105</v>
      </c>
      <c r="H350" s="82" t="str">
        <f>SelectedInputs!H42</f>
        <v>CRITREt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2</v>
      </c>
      <c r="AO350" s="523">
        <f t="shared" si="15"/>
        <v>1</v>
      </c>
      <c r="AP350" s="352">
        <f t="shared" si="16"/>
        <v>15.029581975031123</v>
      </c>
      <c r="AQ350" s="147"/>
      <c r="AR350" s="8">
        <f>SelectedInputs!AR42</f>
        <v>5.35</v>
      </c>
      <c r="AS350" s="8">
        <f>SelectedInputs!AS42</f>
        <v>2.4400000000000004</v>
      </c>
      <c r="AT350" s="8">
        <f>SelectedInputs!AT42</f>
        <v>2.7265273250103745</v>
      </c>
      <c r="AU350" s="8">
        <f>SelectedInputs!AU42</f>
        <v>2.2565273250103743</v>
      </c>
      <c r="AV350" s="8">
        <f>SelectedInputs!AV42</f>
        <v>2.2565273250103743</v>
      </c>
    </row>
    <row r="351" spans="1:48" ht="15">
      <c r="A351" s="82"/>
      <c r="B351" s="82"/>
      <c r="C351" s="82"/>
      <c r="D351" s="82"/>
      <c r="E351" s="82" t="str">
        <f>SelectedInputs!E43</f>
        <v>Off-gas Grid Mechanistic Price Control Deliverable</v>
      </c>
      <c r="F351" s="82"/>
      <c r="G351" s="2" t="s">
        <v>105</v>
      </c>
      <c r="H351" s="82" t="str">
        <f>SelectedInputs!H43</f>
        <v>OGGt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1</v>
      </c>
      <c r="AO351" s="523">
        <f t="shared" si="15"/>
        <v>1</v>
      </c>
      <c r="AP351" s="352">
        <f t="shared" si="16"/>
        <v>0</v>
      </c>
      <c r="AQ351" s="147"/>
      <c r="AR351" s="8">
        <f>SelectedInputs!AR43</f>
        <v>0</v>
      </c>
      <c r="AS351" s="8">
        <f>SelectedInputs!AS43</f>
        <v>0</v>
      </c>
      <c r="AT351" s="8">
        <f>SelectedInputs!AT43</f>
        <v>0</v>
      </c>
      <c r="AU351" s="8">
        <f>SelectedInputs!AU43</f>
        <v>0</v>
      </c>
      <c r="AV351" s="8">
        <f>SelectedInputs!AV43</f>
        <v>0</v>
      </c>
    </row>
    <row r="352" spans="1:48" ht="15">
      <c r="A352" s="82"/>
      <c r="B352" s="82"/>
      <c r="C352" s="82"/>
      <c r="D352" s="82"/>
      <c r="E352" s="82" t="str">
        <f>SelectedInputs!E44</f>
        <v>Shetland Link Contribution (SSEH only)</v>
      </c>
      <c r="F352" s="82"/>
      <c r="G352" s="2" t="s">
        <v>105</v>
      </c>
      <c r="H352" s="82" t="str">
        <f>SelectedInputs!H44</f>
        <v>SLKCt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SelectedInputs!AR44</f>
        <v>0</v>
      </c>
      <c r="AS352" s="8">
        <f>SelectedInputs!AS44</f>
        <v>0</v>
      </c>
      <c r="AT352" s="8">
        <f>SelectedInputs!AT44</f>
        <v>0</v>
      </c>
      <c r="AU352" s="8">
        <f>SelectedInputs!AU44</f>
        <v>0</v>
      </c>
      <c r="AV352" s="8">
        <f>SelectedInputs!AV44</f>
        <v>0</v>
      </c>
    </row>
    <row r="353" spans="1:48" ht="15">
      <c r="A353" s="82"/>
      <c r="B353" s="82"/>
      <c r="C353" s="82"/>
      <c r="D353" s="82"/>
      <c r="E353" s="82" t="str">
        <f>SelectedInputs!E45</f>
        <v>West Coast of Cumbria Re-opener (ENWL only)</v>
      </c>
      <c r="F353" s="82"/>
      <c r="G353" s="2" t="s">
        <v>105</v>
      </c>
      <c r="H353" s="82" t="str">
        <f>SelectedInputs!H45</f>
        <v>WCCt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SelectedInputs!AR45</f>
        <v>0</v>
      </c>
      <c r="AS353" s="8">
        <f>SelectedInputs!AS45</f>
        <v>0</v>
      </c>
      <c r="AT353" s="8">
        <f>SelectedInputs!AT45</f>
        <v>0</v>
      </c>
      <c r="AU353" s="8">
        <f>SelectedInputs!AU45</f>
        <v>0</v>
      </c>
      <c r="AV353" s="8">
        <f>SelectedInputs!AV45</f>
        <v>0</v>
      </c>
    </row>
    <row r="354" spans="1:48" ht="15">
      <c r="A354" s="82"/>
      <c r="B354" s="82"/>
      <c r="C354" s="82"/>
      <c r="D354" s="82"/>
      <c r="E354" s="82" t="str">
        <f>SelectedInputs!E46</f>
        <v>Shetland Enduring Solution Re-opener (SSEH only)</v>
      </c>
      <c r="F354" s="82"/>
      <c r="G354" s="2" t="s">
        <v>105</v>
      </c>
      <c r="H354" s="82" t="str">
        <f>SelectedInputs!H46</f>
        <v>SESt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SelectedInputs!AR46</f>
        <v>0</v>
      </c>
      <c r="AS354" s="8">
        <f>SelectedInputs!AS46</f>
        <v>0</v>
      </c>
      <c r="AT354" s="8">
        <f>SelectedInputs!AT46</f>
        <v>0</v>
      </c>
      <c r="AU354" s="8">
        <f>SelectedInputs!AU46</f>
        <v>0</v>
      </c>
      <c r="AV354" s="8">
        <f>SelectedInputs!AV46</f>
        <v>0</v>
      </c>
    </row>
    <row r="355" spans="1:48" ht="15">
      <c r="A355" s="82"/>
      <c r="B355" s="82"/>
      <c r="C355" s="82"/>
      <c r="D355" s="82"/>
      <c r="E355" s="82" t="str">
        <f>SelectedInputs!E47</f>
        <v>Shetland Extension Fixed Energy Costs Re-opener (SSEH only)</v>
      </c>
      <c r="F355" s="82"/>
      <c r="G355" s="2" t="s">
        <v>105</v>
      </c>
      <c r="H355" s="82" t="str">
        <f>SelectedInputs!H47</f>
        <v>SEFECt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SelectedInputs!AR47</f>
        <v>0</v>
      </c>
      <c r="AS355" s="8">
        <f>SelectedInputs!AS47</f>
        <v>0</v>
      </c>
      <c r="AT355" s="8">
        <f>SelectedInputs!AT47</f>
        <v>0</v>
      </c>
      <c r="AU355" s="8">
        <f>SelectedInputs!AU47</f>
        <v>0</v>
      </c>
      <c r="AV355" s="8">
        <f>SelectedInputs!AV47</f>
        <v>0</v>
      </c>
    </row>
    <row r="356" spans="1:48" ht="15">
      <c r="A356" s="82"/>
      <c r="B356" s="82"/>
      <c r="C356" s="82"/>
      <c r="D356" s="82"/>
      <c r="E356" s="82" t="str">
        <f>SelectedInputs!E48</f>
        <v>Hebrides and Orkney Re-opener (SSEH only)</v>
      </c>
      <c r="F356" s="82"/>
      <c r="G356" s="2" t="s">
        <v>105</v>
      </c>
      <c r="H356" s="82" t="str">
        <f>SelectedInputs!H48</f>
        <v>HOt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2</v>
      </c>
      <c r="AO356" s="523">
        <f t="shared" si="15"/>
        <v>1</v>
      </c>
      <c r="AP356" s="352">
        <f t="shared" si="16"/>
        <v>0</v>
      </c>
      <c r="AQ356" s="147"/>
      <c r="AR356" s="8">
        <f>SelectedInputs!AR48</f>
        <v>0</v>
      </c>
      <c r="AS356" s="8">
        <f>SelectedInputs!AS48</f>
        <v>0</v>
      </c>
      <c r="AT356" s="8">
        <f>SelectedInputs!AT48</f>
        <v>0</v>
      </c>
      <c r="AU356" s="8">
        <f>SelectedInputs!AU48</f>
        <v>0</v>
      </c>
      <c r="AV356" s="8">
        <f>SelectedInputs!AV48</f>
        <v>0</v>
      </c>
    </row>
    <row r="357" spans="1:48" ht="15">
      <c r="A357" s="82"/>
      <c r="B357" s="82"/>
      <c r="C357" s="82"/>
      <c r="D357" s="82"/>
      <c r="E357" s="82" t="str">
        <f>SelectedInputs!E49</f>
        <v>Smart Street Mechanistic Price Control Deliverable (ENWL only)</v>
      </c>
      <c r="F357" s="82"/>
      <c r="G357" s="2" t="s">
        <v>105</v>
      </c>
      <c r="H357" s="82" t="str">
        <f>SelectedInputs!H49</f>
        <v>SSMPt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72.849999999999994</v>
      </c>
      <c r="AQ357" s="147"/>
      <c r="AR357" s="8">
        <f>SelectedInputs!AR49</f>
        <v>14.94</v>
      </c>
      <c r="AS357" s="8">
        <f>SelectedInputs!AS49</f>
        <v>14.75</v>
      </c>
      <c r="AT357" s="8">
        <f>SelectedInputs!AT49</f>
        <v>14.56</v>
      </c>
      <c r="AU357" s="8">
        <f>SelectedInputs!AU49</f>
        <v>14.37</v>
      </c>
      <c r="AV357" s="8">
        <f>SelectedInputs!AV49</f>
        <v>14.23</v>
      </c>
    </row>
    <row r="358" spans="1:48" ht="15">
      <c r="A358" s="82"/>
      <c r="B358" s="82"/>
      <c r="C358" s="82"/>
      <c r="D358" s="82"/>
      <c r="E358" s="82" t="str">
        <f>SelectedInputs!E50</f>
        <v>Worst Served Customers</v>
      </c>
      <c r="F358" s="82"/>
      <c r="G358" s="2" t="s">
        <v>105</v>
      </c>
      <c r="H358" s="82" t="str">
        <f>SelectedInputs!H50</f>
        <v>WSCt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20.608859832990376</v>
      </c>
      <c r="AQ358" s="147"/>
      <c r="AR358" s="8">
        <f>SelectedInputs!AR50</f>
        <v>0.72207608407767954</v>
      </c>
      <c r="AS358" s="8">
        <f>SelectedInputs!AS50</f>
        <v>3.2112654871713948</v>
      </c>
      <c r="AT358" s="8">
        <f>SelectedInputs!AT50</f>
        <v>3.8277137726551884</v>
      </c>
      <c r="AU358" s="8">
        <f>SelectedInputs!AU50</f>
        <v>7.489005207368848</v>
      </c>
      <c r="AV358" s="8">
        <f>SelectedInputs!AV50</f>
        <v>5.3587992817172641</v>
      </c>
    </row>
    <row r="359" spans="1:48" ht="15">
      <c r="A359" s="82"/>
      <c r="B359" s="82"/>
      <c r="C359" s="82"/>
      <c r="D359" s="82"/>
      <c r="E359" s="82" t="str">
        <f>SelectedInputs!E51</f>
        <v>EV Optioneering Projects</v>
      </c>
      <c r="F359" s="82"/>
      <c r="G359" s="2" t="s">
        <v>105</v>
      </c>
      <c r="H359" s="82" t="str">
        <f>SelectedInputs!H51</f>
        <v>EOPt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0</v>
      </c>
      <c r="AQ359" s="147"/>
      <c r="AR359" s="8">
        <f>SelectedInputs!AR51</f>
        <v>0</v>
      </c>
      <c r="AS359" s="8">
        <f>SelectedInputs!AS51</f>
        <v>0</v>
      </c>
      <c r="AT359" s="8">
        <f>SelectedInputs!AT51</f>
        <v>0</v>
      </c>
      <c r="AU359" s="8">
        <f>SelectedInputs!AU51</f>
        <v>0</v>
      </c>
      <c r="AV359" s="8">
        <f>SelectedInputs!AV51</f>
        <v>0</v>
      </c>
    </row>
    <row r="360" spans="1:48" ht="15">
      <c r="A360" s="82"/>
      <c r="B360" s="82"/>
      <c r="C360" s="82"/>
      <c r="D360" s="82"/>
      <c r="E360" s="82" t="str">
        <f>SelectedInputs!E52</f>
        <v>Cyber Resilience IT baseline</v>
      </c>
      <c r="F360" s="82"/>
      <c r="G360" s="2" t="s">
        <v>105</v>
      </c>
      <c r="H360" s="82" t="str">
        <f>SelectedInputs!H52</f>
        <v>CRITt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1</v>
      </c>
      <c r="AO360" s="523">
        <f t="shared" si="15"/>
        <v>1</v>
      </c>
      <c r="AP360" s="352">
        <f t="shared" si="16"/>
        <v>18.130000000000003</v>
      </c>
      <c r="AQ360" s="147"/>
      <c r="AR360" s="8">
        <f>SelectedInputs!AR52</f>
        <v>5.15</v>
      </c>
      <c r="AS360" s="8">
        <f>SelectedInputs!AS52</f>
        <v>4.42</v>
      </c>
      <c r="AT360" s="8">
        <f>SelectedInputs!AT52</f>
        <v>3.66</v>
      </c>
      <c r="AU360" s="8">
        <f>SelectedInputs!AU52</f>
        <v>2.46</v>
      </c>
      <c r="AV360" s="8">
        <f>SelectedInputs!AV52</f>
        <v>2.44</v>
      </c>
    </row>
    <row r="361" spans="1:48" ht="15">
      <c r="A361" s="82"/>
      <c r="B361" s="82"/>
      <c r="C361" s="82"/>
      <c r="D361" s="82"/>
      <c r="E361" s="82" t="str">
        <f>SelectedInputs!E53</f>
        <v>Wayleaves and Diversions Re-opener</v>
      </c>
      <c r="F361" s="82"/>
      <c r="G361" s="2" t="s">
        <v>105</v>
      </c>
      <c r="H361" s="82" t="str">
        <f>SelectedInputs!H53</f>
        <v>WDVt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19.942322564486936</v>
      </c>
      <c r="AQ361" s="147"/>
      <c r="AR361" s="8">
        <f>SelectedInputs!AR53</f>
        <v>1.880018719094557</v>
      </c>
      <c r="AS361" s="8">
        <f>SelectedInputs!AS53</f>
        <v>3.4075764554162702</v>
      </c>
      <c r="AT361" s="8">
        <f>SelectedInputs!AT53</f>
        <v>4.0882876818239584</v>
      </c>
      <c r="AU361" s="8">
        <f>SelectedInputs!AU53</f>
        <v>5.1186524867859937</v>
      </c>
      <c r="AV361" s="8">
        <f>SelectedInputs!AV53</f>
        <v>5.4477872213661556</v>
      </c>
    </row>
    <row r="362" spans="1:48" ht="15">
      <c r="A362" s="82"/>
      <c r="B362" s="82"/>
      <c r="C362" s="82"/>
      <c r="D362" s="82"/>
      <c r="E362" s="82" t="str">
        <f>SelectedInputs!E54</f>
        <v>Indirects Scaler</v>
      </c>
      <c r="F362" s="82"/>
      <c r="G362" s="2" t="s">
        <v>105</v>
      </c>
      <c r="H362" s="82" t="str">
        <f>SelectedInputs!H54</f>
        <v>ISt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2</v>
      </c>
      <c r="AO362" s="523">
        <f t="shared" si="15"/>
        <v>1</v>
      </c>
      <c r="AP362" s="352">
        <f t="shared" si="16"/>
        <v>17.452906816920063</v>
      </c>
      <c r="AQ362" s="147"/>
      <c r="AR362" s="8">
        <f>SelectedInputs!AR54</f>
        <v>1.4859296310805927</v>
      </c>
      <c r="AS362" s="8">
        <f>SelectedInputs!AS54</f>
        <v>1.7621686930059444</v>
      </c>
      <c r="AT362" s="8">
        <f>SelectedInputs!AT54</f>
        <v>3.7356840896874317</v>
      </c>
      <c r="AU362" s="8">
        <f>SelectedInputs!AU54</f>
        <v>4.7310317840348999</v>
      </c>
      <c r="AV362" s="8">
        <f>SelectedInputs!AV54</f>
        <v>5.7380926191111952</v>
      </c>
    </row>
    <row r="363" spans="1:48" ht="15">
      <c r="A363" s="82"/>
      <c r="B363" s="82"/>
      <c r="C363" s="82"/>
      <c r="D363" s="82"/>
      <c r="E363" s="82" t="str">
        <f>SelectedInputs!E55</f>
        <v>LineSIGHT Mechanistic Price Control Deliverable (ENWL only)</v>
      </c>
      <c r="F363" s="82"/>
      <c r="G363" s="2" t="s">
        <v>105</v>
      </c>
      <c r="H363" s="82" t="str">
        <f>SelectedInputs!H55</f>
        <v>LMPt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32.260000000000005</v>
      </c>
      <c r="AQ363" s="147"/>
      <c r="AR363" s="8">
        <f>SelectedInputs!AR55</f>
        <v>7.76</v>
      </c>
      <c r="AS363" s="8">
        <f>SelectedInputs!AS55</f>
        <v>6.24</v>
      </c>
      <c r="AT363" s="8">
        <f>SelectedInputs!AT55</f>
        <v>6.16</v>
      </c>
      <c r="AU363" s="8">
        <f>SelectedInputs!AU55</f>
        <v>6.08</v>
      </c>
      <c r="AV363" s="8">
        <f>SelectedInputs!AV55</f>
        <v>6.02</v>
      </c>
    </row>
    <row r="364" spans="1:48" ht="15">
      <c r="A364" s="82"/>
      <c r="B364" s="82"/>
      <c r="C364" s="82"/>
      <c r="D364" s="82"/>
      <c r="E364" s="82" t="str">
        <f>SelectedInputs!E56</f>
        <v>New Depot (EMID, SWALES, SWEST and WMID only)</v>
      </c>
      <c r="F364" s="82"/>
      <c r="G364" s="2" t="s">
        <v>105</v>
      </c>
      <c r="H364" s="82" t="str">
        <f>SelectedInputs!H56</f>
        <v>NEWDt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SelectedInputs!AR56</f>
        <v>0</v>
      </c>
      <c r="AS364" s="8">
        <f>SelectedInputs!AS56</f>
        <v>0</v>
      </c>
      <c r="AT364" s="8">
        <f>SelectedInputs!AT56</f>
        <v>0</v>
      </c>
      <c r="AU364" s="8">
        <f>SelectedInputs!AU56</f>
        <v>0</v>
      </c>
      <c r="AV364" s="8">
        <f>SelectedInputs!AV56</f>
        <v>0</v>
      </c>
    </row>
    <row r="365" spans="1:48" ht="15">
      <c r="A365" s="82"/>
      <c r="B365" s="82"/>
      <c r="C365" s="82"/>
      <c r="D365" s="82"/>
      <c r="E365" s="82" t="str">
        <f>SelectedInputs!E57</f>
        <v>New Control Room (SSES and SSEH only)</v>
      </c>
      <c r="F365" s="82"/>
      <c r="G365" s="2" t="s">
        <v>105</v>
      </c>
      <c r="H365" s="82" t="str">
        <f>SelectedInputs!H57</f>
        <v>CTRLt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1</v>
      </c>
      <c r="AO365" s="523">
        <f t="shared" si="15"/>
        <v>1</v>
      </c>
      <c r="AP365" s="352">
        <f t="shared" si="16"/>
        <v>0</v>
      </c>
      <c r="AQ365" s="147"/>
      <c r="AR365" s="8">
        <f>SelectedInputs!AR57</f>
        <v>0</v>
      </c>
      <c r="AS365" s="8">
        <f>SelectedInputs!AS57</f>
        <v>0</v>
      </c>
      <c r="AT365" s="8">
        <f>SelectedInputs!AT57</f>
        <v>0</v>
      </c>
      <c r="AU365" s="8">
        <f>SelectedInputs!AU57</f>
        <v>0</v>
      </c>
      <c r="AV365" s="8">
        <f>SelectedInputs!AV57</f>
        <v>0</v>
      </c>
    </row>
    <row r="366" spans="1:48" ht="15">
      <c r="A366" s="82"/>
      <c r="B366" s="82"/>
      <c r="C366" s="82"/>
      <c r="D366" s="82"/>
      <c r="E366" s="82" t="str">
        <f>SelectedInputs!E58</f>
        <v>Storm Arwen Re-opener</v>
      </c>
      <c r="F366" s="82"/>
      <c r="G366" s="2" t="s">
        <v>105</v>
      </c>
      <c r="H366" s="82" t="str">
        <f>SelectedInputs!H58</f>
        <v>SARt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19.930165751612059</v>
      </c>
      <c r="AQ366" s="147"/>
      <c r="AR366" s="8">
        <f>SelectedInputs!AR58</f>
        <v>0</v>
      </c>
      <c r="AS366" s="8">
        <f>SelectedInputs!AS58</f>
        <v>3.8956539780320681E-2</v>
      </c>
      <c r="AT366" s="8">
        <f>SelectedInputs!AT58</f>
        <v>3.5528364279652456</v>
      </c>
      <c r="AU366" s="8">
        <f>SelectedInputs!AU58</f>
        <v>4.0203149053290943</v>
      </c>
      <c r="AV366" s="8">
        <f>SelectedInputs!AV58</f>
        <v>12.318057878537399</v>
      </c>
    </row>
    <row r="367" spans="1:48" ht="15">
      <c r="A367" s="82"/>
      <c r="B367" s="82"/>
      <c r="C367" s="82"/>
      <c r="D367" s="82"/>
      <c r="E367" s="82" t="str">
        <f>SelectedInputs!E59</f>
        <v>High Value Projects Re-opener</v>
      </c>
      <c r="F367" s="82"/>
      <c r="G367" s="2" t="s">
        <v>105</v>
      </c>
      <c r="H367" s="82" t="str">
        <f>SelectedInputs!H59</f>
        <v>HVPt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13.5130022093202</v>
      </c>
      <c r="AQ367" s="147"/>
      <c r="AR367" s="8">
        <f>SelectedInputs!AR59</f>
        <v>3.2723493415469374E-2</v>
      </c>
      <c r="AS367" s="8">
        <f>SelectedInputs!AS59</f>
        <v>3.1165231824253424E-2</v>
      </c>
      <c r="AT367" s="8">
        <f>SelectedInputs!AT59</f>
        <v>0.74505239373738474</v>
      </c>
      <c r="AU367" s="8">
        <f>SelectedInputs!AU59</f>
        <v>5.2368123313107597</v>
      </c>
      <c r="AV367" s="8">
        <f>SelectedInputs!AV59</f>
        <v>7.4672487590323335</v>
      </c>
    </row>
    <row r="368" spans="1:48" ht="15">
      <c r="A368" s="82"/>
      <c r="B368" s="82"/>
      <c r="C368" s="82"/>
      <c r="D368" s="82"/>
      <c r="E368" s="82" t="str">
        <f>SelectedInputs!E60</f>
        <v>Strategic Investment</v>
      </c>
      <c r="F368" s="82"/>
      <c r="G368" s="2" t="s">
        <v>105</v>
      </c>
      <c r="H368" s="82" t="str">
        <f>SelectedInputs!H60</f>
        <v>SINVt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SelectedInputs!AR60</f>
        <v>0</v>
      </c>
      <c r="AS368" s="8">
        <f>SelectedInputs!AS60</f>
        <v>0</v>
      </c>
      <c r="AT368" s="8">
        <f>SelectedInputs!AT60</f>
        <v>0</v>
      </c>
      <c r="AU368" s="8">
        <f>SelectedInputs!AU60</f>
        <v>0</v>
      </c>
      <c r="AV368" s="8">
        <f>SelectedInputs!AV60</f>
        <v>0</v>
      </c>
    </row>
    <row r="369" spans="1:48" ht="15">
      <c r="A369" s="82"/>
      <c r="B369" s="82"/>
      <c r="C369" s="82"/>
      <c r="D369" s="82"/>
      <c r="E369" s="82" t="str">
        <f>SelectedInputs!E61</f>
        <v>Carry-over Green Recovery Scheme</v>
      </c>
      <c r="F369" s="82"/>
      <c r="G369" s="2" t="s">
        <v>105</v>
      </c>
      <c r="H369" s="82" t="str">
        <f>SelectedInputs!H61</f>
        <v>CGRSt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SelectedInputs!AR61</f>
        <v>0</v>
      </c>
      <c r="AS369" s="8">
        <f>SelectedInputs!AS61</f>
        <v>0</v>
      </c>
      <c r="AT369" s="8">
        <f>SelectedInputs!AT61</f>
        <v>0</v>
      </c>
      <c r="AU369" s="8">
        <f>SelectedInputs!AU61</f>
        <v>0</v>
      </c>
      <c r="AV369" s="8">
        <f>SelectedInputs!AV61</f>
        <v>0</v>
      </c>
    </row>
    <row r="370" spans="1:48" ht="15">
      <c r="A370" s="82"/>
      <c r="B370" s="82"/>
      <c r="C370" s="82"/>
      <c r="D370" s="82"/>
      <c r="E370" s="82" t="str">
        <f>SelectedInputs!E62</f>
        <v>1-in-20 Severe Weather Event</v>
      </c>
      <c r="F370" s="82"/>
      <c r="G370" s="2" t="s">
        <v>105</v>
      </c>
      <c r="H370" s="82" t="str">
        <f>SelectedInputs!H62</f>
        <v>OTSWt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SelectedInputs!AR62</f>
        <v>0</v>
      </c>
      <c r="AS370" s="8">
        <f>SelectedInputs!AS62</f>
        <v>0</v>
      </c>
      <c r="AT370" s="8">
        <f>SelectedInputs!AT62</f>
        <v>0</v>
      </c>
      <c r="AU370" s="8">
        <f>SelectedInputs!AU62</f>
        <v>0</v>
      </c>
      <c r="AV370" s="8">
        <f>SelectedInputs!AV62</f>
        <v>0</v>
      </c>
    </row>
    <row r="371" spans="1:48" ht="15">
      <c r="A371" s="82"/>
      <c r="B371" s="82"/>
      <c r="C371" s="82"/>
      <c r="D371" s="82"/>
      <c r="E371" s="82" t="str">
        <f>SelectedInputs!E63</f>
        <v>Net to Gross Load Related Expenditure</v>
      </c>
      <c r="F371" s="82"/>
      <c r="G371" s="2" t="s">
        <v>105</v>
      </c>
      <c r="H371" s="82" t="str">
        <f>SelectedInputs!H63</f>
        <v>NGLREt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2</v>
      </c>
      <c r="AO371" s="523">
        <f t="shared" si="15"/>
        <v>1</v>
      </c>
      <c r="AP371" s="352">
        <f t="shared" si="16"/>
        <v>0</v>
      </c>
      <c r="AQ371" s="147"/>
      <c r="AR371" s="8">
        <f>SelectedInputs!AR63</f>
        <v>0</v>
      </c>
      <c r="AS371" s="8">
        <f>SelectedInputs!AS63</f>
        <v>0</v>
      </c>
      <c r="AT371" s="8">
        <f>SelectedInputs!AT63</f>
        <v>0</v>
      </c>
      <c r="AU371" s="8">
        <f>SelectedInputs!AU63</f>
        <v>0</v>
      </c>
      <c r="AV371" s="8">
        <f>SelectedInputs!AV63</f>
        <v>0</v>
      </c>
    </row>
    <row r="372" spans="1:48" ht="15">
      <c r="A372" s="82"/>
      <c r="B372" s="82"/>
      <c r="C372" s="82"/>
      <c r="D372" s="82"/>
      <c r="E372" s="82">
        <f>SelectedInputs!E64</f>
        <v>0</v>
      </c>
      <c r="F372" s="82"/>
      <c r="G372" s="2" t="s">
        <v>105</v>
      </c>
      <c r="H372" s="82">
        <f>SelectedInputs!H64</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SelectedInputs!AR64</f>
        <v>0</v>
      </c>
      <c r="AS372" s="8">
        <f>SelectedInputs!AS64</f>
        <v>0</v>
      </c>
      <c r="AT372" s="8">
        <f>SelectedInputs!AT64</f>
        <v>0</v>
      </c>
      <c r="AU372" s="8">
        <f>SelectedInputs!AU64</f>
        <v>0</v>
      </c>
      <c r="AV372" s="8">
        <f>SelectedInputs!AV64</f>
        <v>0</v>
      </c>
    </row>
    <row r="373" spans="1:48" ht="15">
      <c r="A373" s="82"/>
      <c r="B373" s="82"/>
      <c r="C373" s="82"/>
      <c r="D373" s="82"/>
      <c r="E373" s="82">
        <f>SelectedInputs!E65</f>
        <v>0</v>
      </c>
      <c r="F373" s="82"/>
      <c r="G373" s="2" t="s">
        <v>105</v>
      </c>
      <c r="H373" s="82">
        <f>SelectedInputs!H65</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SelectedInputs!AR65</f>
        <v>0</v>
      </c>
      <c r="AS373" s="8">
        <f>SelectedInputs!AS65</f>
        <v>0</v>
      </c>
      <c r="AT373" s="8">
        <f>SelectedInputs!AT65</f>
        <v>0</v>
      </c>
      <c r="AU373" s="8">
        <f>SelectedInputs!AU65</f>
        <v>0</v>
      </c>
      <c r="AV373" s="8">
        <f>SelectedInputs!AV65</f>
        <v>0</v>
      </c>
    </row>
    <row r="374" spans="1:48" ht="15">
      <c r="A374" s="82"/>
      <c r="B374" s="82"/>
      <c r="C374" s="82"/>
      <c r="D374" s="82"/>
      <c r="E374" s="82">
        <f>SelectedInputs!E66</f>
        <v>0</v>
      </c>
      <c r="F374" s="82"/>
      <c r="G374" s="2" t="s">
        <v>105</v>
      </c>
      <c r="H374" s="82">
        <f>SelectedInputs!H66</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SelectedInputs!AR66</f>
        <v>0</v>
      </c>
      <c r="AS374" s="8">
        <f>SelectedInputs!AS66</f>
        <v>0</v>
      </c>
      <c r="AT374" s="8">
        <f>SelectedInputs!AT66</f>
        <v>0</v>
      </c>
      <c r="AU374" s="8">
        <f>SelectedInputs!AU66</f>
        <v>0</v>
      </c>
      <c r="AV374" s="8">
        <f>SelectedInputs!AV66</f>
        <v>0</v>
      </c>
    </row>
    <row r="375" spans="1:48" ht="15">
      <c r="A375" s="82"/>
      <c r="B375" s="82"/>
      <c r="C375" s="82"/>
      <c r="D375" s="82"/>
      <c r="E375" s="82">
        <f>SelectedInputs!E67</f>
        <v>0</v>
      </c>
      <c r="F375" s="82"/>
      <c r="G375" s="2" t="s">
        <v>105</v>
      </c>
      <c r="H375" s="82">
        <f>SelectedInputs!H67</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SelectedInputs!AR67</f>
        <v>0</v>
      </c>
      <c r="AS375" s="8">
        <f>SelectedInputs!AS67</f>
        <v>0</v>
      </c>
      <c r="AT375" s="8">
        <f>SelectedInputs!AT67</f>
        <v>0</v>
      </c>
      <c r="AU375" s="8">
        <f>SelectedInputs!AU67</f>
        <v>0</v>
      </c>
      <c r="AV375" s="8">
        <f>SelectedInputs!AV67</f>
        <v>0</v>
      </c>
    </row>
    <row r="376" spans="1:48" ht="15">
      <c r="A376" s="82"/>
      <c r="B376" s="82"/>
      <c r="C376" s="82"/>
      <c r="D376" s="82"/>
      <c r="E376" s="82">
        <f>SelectedInputs!E68</f>
        <v>0</v>
      </c>
      <c r="F376" s="82"/>
      <c r="G376" s="2" t="s">
        <v>105</v>
      </c>
      <c r="H376" s="82">
        <f>SelectedInputs!H68</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SelectedInputs!AR68</f>
        <v>0</v>
      </c>
      <c r="AS376" s="8">
        <f>SelectedInputs!AS68</f>
        <v>0</v>
      </c>
      <c r="AT376" s="8">
        <f>SelectedInputs!AT68</f>
        <v>0</v>
      </c>
      <c r="AU376" s="8">
        <f>SelectedInputs!AU68</f>
        <v>0</v>
      </c>
      <c r="AV376" s="8">
        <f>SelectedInputs!AV68</f>
        <v>0</v>
      </c>
    </row>
    <row r="377" spans="1:48" ht="15">
      <c r="A377" s="82"/>
      <c r="B377" s="82"/>
      <c r="C377" s="82"/>
      <c r="D377" s="82"/>
      <c r="E377" s="82">
        <f>SelectedInputs!E69</f>
        <v>0</v>
      </c>
      <c r="F377" s="82"/>
      <c r="G377" s="2" t="s">
        <v>105</v>
      </c>
      <c r="H377" s="82">
        <f>SelectedInputs!H69</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SelectedInputs!AR69</f>
        <v>0</v>
      </c>
      <c r="AS377" s="8">
        <f>SelectedInputs!AS69</f>
        <v>0</v>
      </c>
      <c r="AT377" s="8">
        <f>SelectedInputs!AT69</f>
        <v>0</v>
      </c>
      <c r="AU377" s="8">
        <f>SelectedInputs!AU69</f>
        <v>0</v>
      </c>
      <c r="AV377" s="8">
        <f>SelectedInputs!AV69</f>
        <v>0</v>
      </c>
    </row>
    <row r="378" spans="1:48" ht="15">
      <c r="A378" s="82"/>
      <c r="B378" s="82"/>
      <c r="C378" s="82"/>
      <c r="D378" s="82"/>
      <c r="E378" s="82">
        <f>SelectedInputs!E70</f>
        <v>0</v>
      </c>
      <c r="F378" s="82"/>
      <c r="G378" s="2" t="s">
        <v>105</v>
      </c>
      <c r="H378" s="82">
        <f>SelectedInputs!H70</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SelectedInputs!AR70</f>
        <v>0</v>
      </c>
      <c r="AS378" s="8">
        <f>SelectedInputs!AS70</f>
        <v>0</v>
      </c>
      <c r="AT378" s="8">
        <f>SelectedInputs!AT70</f>
        <v>0</v>
      </c>
      <c r="AU378" s="8">
        <f>SelectedInputs!AU70</f>
        <v>0</v>
      </c>
      <c r="AV378" s="8">
        <f>SelectedInputs!AV70</f>
        <v>0</v>
      </c>
    </row>
    <row r="379" spans="1:48" ht="15">
      <c r="A379" s="82"/>
      <c r="B379" s="82"/>
      <c r="C379" s="82"/>
      <c r="D379" s="82"/>
      <c r="E379" s="82">
        <f>SelectedInputs!E71</f>
        <v>0</v>
      </c>
      <c r="F379" s="82"/>
      <c r="G379" s="2" t="s">
        <v>105</v>
      </c>
      <c r="H379" s="82">
        <f>SelectedInputs!H71</f>
        <v>0</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14"/>
        <v>0</v>
      </c>
      <c r="AO379" s="523">
        <f t="shared" si="15"/>
        <v>0</v>
      </c>
      <c r="AP379" s="352">
        <f t="shared" si="16"/>
        <v>0</v>
      </c>
      <c r="AQ379" s="147"/>
      <c r="AR379" s="8">
        <f>SelectedInputs!AR71</f>
        <v>0</v>
      </c>
      <c r="AS379" s="8">
        <f>SelectedInputs!AS71</f>
        <v>0</v>
      </c>
      <c r="AT379" s="8">
        <f>SelectedInputs!AT71</f>
        <v>0</v>
      </c>
      <c r="AU379" s="8">
        <f>SelectedInputs!AU71</f>
        <v>0</v>
      </c>
      <c r="AV379" s="8">
        <f>SelectedInputs!AV71</f>
        <v>0</v>
      </c>
    </row>
    <row r="380" spans="1:48" ht="15">
      <c r="A380" s="82"/>
      <c r="B380" s="82"/>
      <c r="C380" s="82"/>
      <c r="D380" s="82"/>
      <c r="E380" s="82" t="s">
        <v>644</v>
      </c>
      <c r="F380" s="82"/>
      <c r="G380" s="2" t="s">
        <v>105</v>
      </c>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147"/>
      <c r="AR380" s="431">
        <f>SUM(AR332:AR379)</f>
        <v>95.749831907911002</v>
      </c>
      <c r="AS380" s="431">
        <f>SUM(AS332:AS379)</f>
        <v>102.97976384284371</v>
      </c>
      <c r="AT380" s="431">
        <f>SUM(AT332:AT379)</f>
        <v>131.92911988833706</v>
      </c>
      <c r="AU380" s="431">
        <f>SUM(AU332:AU379)</f>
        <v>144.59154221254281</v>
      </c>
      <c r="AV380" s="431">
        <f>SUM(AV332:AV379)</f>
        <v>160.59637904134743</v>
      </c>
    </row>
    <row r="381" spans="1:48" ht="15.75">
      <c r="A381" s="82"/>
      <c r="B381" s="82"/>
      <c r="C381" s="82"/>
      <c r="D381" s="82"/>
      <c r="E381" s="182" t="s">
        <v>21</v>
      </c>
      <c r="F381" s="268"/>
      <c r="G381" s="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335"/>
      <c r="AK381" s="335"/>
      <c r="AL381" s="335"/>
      <c r="AM381" s="335"/>
      <c r="AN381" s="335"/>
      <c r="AO381" s="335"/>
      <c r="AP381" s="335">
        <f>IF(SUMPRODUCT(AO332:AO379,AP332:AP379)=SUM(AP332:AP379),0,1)</f>
        <v>0</v>
      </c>
      <c r="AQ381" s="336"/>
      <c r="AR381" s="335"/>
      <c r="AS381" s="335"/>
      <c r="AT381" s="335"/>
      <c r="AU381" s="335"/>
      <c r="AV381" s="335"/>
    </row>
    <row r="382" spans="1:48" ht="15">
      <c r="A382" s="82"/>
      <c r="B382" s="82"/>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269"/>
      <c r="AR382" s="83"/>
      <c r="AS382" s="83"/>
      <c r="AT382" s="83"/>
      <c r="AU382" s="83"/>
      <c r="AV382" s="83"/>
    </row>
    <row r="383" spans="1:48" ht="15">
      <c r="A383" s="82"/>
      <c r="B383" s="82"/>
      <c r="C383" s="194"/>
      <c r="D383" s="28" t="s">
        <v>645</v>
      </c>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9"/>
      <c r="AR383" s="28"/>
      <c r="AS383" s="28"/>
      <c r="AT383" s="28"/>
      <c r="AU383" s="28"/>
      <c r="AV383" s="28"/>
    </row>
    <row r="384" spans="1:48" ht="60">
      <c r="A384" s="82"/>
      <c r="B384" s="82"/>
      <c r="C384" s="82"/>
      <c r="D384" s="82"/>
      <c r="E384" s="82"/>
      <c r="F384" s="268"/>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205" t="s">
        <v>646</v>
      </c>
      <c r="AK384" s="205"/>
      <c r="AL384" s="205" t="s">
        <v>647</v>
      </c>
      <c r="AM384" s="205" t="s">
        <v>648</v>
      </c>
      <c r="AO384" s="205" t="s">
        <v>633</v>
      </c>
      <c r="AP384" s="205" t="s">
        <v>634</v>
      </c>
      <c r="AQ384" s="205" t="s">
        <v>635</v>
      </c>
      <c r="AR384" s="205" t="s">
        <v>636</v>
      </c>
      <c r="AS384" s="205" t="s">
        <v>637</v>
      </c>
      <c r="AT384" s="205" t="s">
        <v>638</v>
      </c>
      <c r="AU384" s="205" t="s">
        <v>639</v>
      </c>
    </row>
    <row r="385" spans="1:48" ht="15.75">
      <c r="A385" s="82"/>
      <c r="B385" s="82"/>
      <c r="C385" s="82"/>
      <c r="D385" s="82"/>
      <c r="E385" s="82" t="str">
        <f t="shared" ref="E385:E432" si="17">E332</f>
        <v>RPEs (bucket 1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SelectedInputs!AJ74</f>
        <v>Other</v>
      </c>
      <c r="AK385" s="353"/>
      <c r="AL385" s="353">
        <f>SelectedInputs!AL74</f>
        <v>0</v>
      </c>
      <c r="AM385" s="353">
        <f>SelectedInputs!AM74</f>
        <v>1</v>
      </c>
      <c r="AN385" s="515"/>
      <c r="AO385" s="287">
        <f>SelectedInputs!AO74</f>
        <v>0.11670994146899617</v>
      </c>
      <c r="AP385" s="287">
        <f>SelectedInputs!AP74</f>
        <v>0.26203154764524306</v>
      </c>
      <c r="AQ385" s="287">
        <f>SelectedInputs!AQ74</f>
        <v>9.3699901295729318E-2</v>
      </c>
      <c r="AR385" s="287">
        <f>SelectedInputs!AR74</f>
        <v>9.2115603447733896E-2</v>
      </c>
      <c r="AS385" s="287">
        <f>SelectedInputs!AS74</f>
        <v>1.6804873601951455E-2</v>
      </c>
      <c r="AT385" s="287">
        <f>SelectedInputs!AT74</f>
        <v>4.7522648543640494E-2</v>
      </c>
      <c r="AU385" s="287">
        <f>SelectedInputs!AU74</f>
        <v>0.37111548399670569</v>
      </c>
      <c r="AV385" s="521"/>
    </row>
    <row r="386" spans="1:48" ht="15.75">
      <c r="A386" s="82"/>
      <c r="B386" s="82"/>
      <c r="C386" s="82"/>
      <c r="D386" s="82"/>
      <c r="E386" s="82" t="str">
        <f t="shared" si="17"/>
        <v>RPEs (bucket 2 allowances)</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SelectedInputs!AJ75</f>
        <v>Other</v>
      </c>
      <c r="AK386" s="353"/>
      <c r="AL386" s="353">
        <f>SelectedInputs!AL75</f>
        <v>0</v>
      </c>
      <c r="AM386" s="353">
        <f>SelectedInputs!AM75</f>
        <v>2</v>
      </c>
      <c r="AN386" s="515"/>
      <c r="AO386" s="287">
        <f>SelectedInputs!AO75</f>
        <v>0.78399861910075919</v>
      </c>
      <c r="AP386" s="287">
        <f>SelectedInputs!AP75</f>
        <v>0.21600138089924087</v>
      </c>
      <c r="AQ386" s="287">
        <f>SelectedInputs!AQ75</f>
        <v>0</v>
      </c>
      <c r="AR386" s="287">
        <f>SelectedInputs!AR75</f>
        <v>0</v>
      </c>
      <c r="AS386" s="287">
        <f>SelectedInputs!AS75</f>
        <v>0</v>
      </c>
      <c r="AT386" s="287">
        <f>SelectedInputs!AT75</f>
        <v>0</v>
      </c>
      <c r="AU386" s="287">
        <f>SelectedInputs!AU75</f>
        <v>0</v>
      </c>
      <c r="AV386" s="521"/>
    </row>
    <row r="387" spans="1:48" ht="15.75">
      <c r="A387" s="82"/>
      <c r="B387" s="82"/>
      <c r="C387" s="82"/>
      <c r="D387" s="82"/>
      <c r="E387" s="82" t="str">
        <f t="shared" si="17"/>
        <v>Physical Security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SelectedInputs!AJ76</f>
        <v>Re-opener</v>
      </c>
      <c r="AK387" s="353"/>
      <c r="AL387" s="353" t="str">
        <f>SelectedInputs!AL76</f>
        <v>RPEs Don't Apply</v>
      </c>
      <c r="AM387" s="353">
        <f>SelectedInputs!AM76</f>
        <v>2</v>
      </c>
      <c r="AN387" s="515"/>
      <c r="AO387" s="287">
        <f>SelectedInputs!AO76</f>
        <v>0</v>
      </c>
      <c r="AP387" s="287">
        <f>SelectedInputs!AP76</f>
        <v>1</v>
      </c>
      <c r="AQ387" s="287">
        <f>SelectedInputs!AQ76</f>
        <v>0</v>
      </c>
      <c r="AR387" s="287">
        <f>SelectedInputs!AR76</f>
        <v>0</v>
      </c>
      <c r="AS387" s="287">
        <f>SelectedInputs!AS76</f>
        <v>0</v>
      </c>
      <c r="AT387" s="287">
        <f>SelectedInputs!AT76</f>
        <v>0</v>
      </c>
      <c r="AU387" s="287">
        <f>SelectedInputs!AU76</f>
        <v>0</v>
      </c>
      <c r="AV387" s="521"/>
    </row>
    <row r="388" spans="1:48" ht="15.75">
      <c r="A388" s="82"/>
      <c r="B388" s="82"/>
      <c r="C388" s="82"/>
      <c r="D388" s="82"/>
      <c r="E388" s="82" t="str">
        <f t="shared" si="17"/>
        <v>Specified Street Works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SelectedInputs!AJ77</f>
        <v>Re-opener</v>
      </c>
      <c r="AK388" s="353"/>
      <c r="AL388" s="353" t="str">
        <f>SelectedInputs!AL77</f>
        <v>RPEs Don't Apply</v>
      </c>
      <c r="AM388" s="353">
        <f>SelectedInputs!AM77</f>
        <v>2</v>
      </c>
      <c r="AN388" s="515"/>
      <c r="AO388" s="287">
        <f>SelectedInputs!AO77</f>
        <v>0</v>
      </c>
      <c r="AP388" s="287">
        <f>SelectedInputs!AP77</f>
        <v>0</v>
      </c>
      <c r="AQ388" s="287">
        <f>SelectedInputs!AQ77</f>
        <v>0</v>
      </c>
      <c r="AR388" s="287">
        <f>SelectedInputs!AR77</f>
        <v>0</v>
      </c>
      <c r="AS388" s="287">
        <f>SelectedInputs!AS77</f>
        <v>0</v>
      </c>
      <c r="AT388" s="287">
        <f>SelectedInputs!AT77</f>
        <v>0</v>
      </c>
      <c r="AU388" s="287">
        <f>SelectedInputs!AU77</f>
        <v>1</v>
      </c>
      <c r="AV388" s="521"/>
    </row>
    <row r="389" spans="1:48" ht="15.75">
      <c r="A389" s="82"/>
      <c r="B389" s="82"/>
      <c r="C389" s="82"/>
      <c r="D389" s="82"/>
      <c r="E389" s="82" t="str">
        <f t="shared" si="17"/>
        <v>Rail Electrification Costs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SelectedInputs!AJ78</f>
        <v>Re-opener</v>
      </c>
      <c r="AK389" s="353"/>
      <c r="AL389" s="353" t="str">
        <f>SelectedInputs!AL78</f>
        <v>RPEs Don't Apply</v>
      </c>
      <c r="AM389" s="353">
        <f>SelectedInputs!AM78</f>
        <v>2</v>
      </c>
      <c r="AN389" s="515"/>
      <c r="AO389" s="287">
        <f>SelectedInputs!AO78</f>
        <v>0</v>
      </c>
      <c r="AP389" s="287">
        <f>SelectedInputs!AP78</f>
        <v>1</v>
      </c>
      <c r="AQ389" s="287">
        <f>SelectedInputs!AQ78</f>
        <v>0</v>
      </c>
      <c r="AR389" s="287">
        <f>SelectedInputs!AR78</f>
        <v>0</v>
      </c>
      <c r="AS389" s="287">
        <f>SelectedInputs!AS78</f>
        <v>0</v>
      </c>
      <c r="AT389" s="287">
        <f>SelectedInputs!AT78</f>
        <v>0</v>
      </c>
      <c r="AU389" s="287">
        <f>SelectedInputs!AU78</f>
        <v>0</v>
      </c>
      <c r="AV389" s="521"/>
    </row>
    <row r="390" spans="1:48" ht="15.75">
      <c r="A390" s="82"/>
      <c r="B390" s="82"/>
      <c r="C390" s="82"/>
      <c r="D390" s="82"/>
      <c r="E390" s="82" t="str">
        <f t="shared" si="17"/>
        <v>Net Zero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SelectedInputs!AJ79</f>
        <v>Re-opener</v>
      </c>
      <c r="AK390" s="353"/>
      <c r="AL390" s="353" t="str">
        <f>SelectedInputs!AL79</f>
        <v>RPEs Don't Apply</v>
      </c>
      <c r="AM390" s="353">
        <f>SelectedInputs!AM79</f>
        <v>2</v>
      </c>
      <c r="AN390" s="515"/>
      <c r="AO390" s="287">
        <f>SelectedInputs!AO79</f>
        <v>1</v>
      </c>
      <c r="AP390" s="287">
        <f>SelectedInputs!AP79</f>
        <v>0</v>
      </c>
      <c r="AQ390" s="287">
        <f>SelectedInputs!AQ79</f>
        <v>0</v>
      </c>
      <c r="AR390" s="287">
        <f>SelectedInputs!AR79</f>
        <v>0</v>
      </c>
      <c r="AS390" s="287">
        <f>SelectedInputs!AS79</f>
        <v>0</v>
      </c>
      <c r="AT390" s="287">
        <f>SelectedInputs!AT79</f>
        <v>0</v>
      </c>
      <c r="AU390" s="287">
        <f>SelectedInputs!AU79</f>
        <v>0</v>
      </c>
      <c r="AV390" s="521"/>
    </row>
    <row r="391" spans="1:48" ht="15.75">
      <c r="A391" s="82"/>
      <c r="B391" s="82"/>
      <c r="C391" s="82"/>
      <c r="D391" s="82"/>
      <c r="E391" s="82" t="str">
        <f t="shared" si="17"/>
        <v>Coordinated Adjustment Mechanism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SelectedInputs!AJ80</f>
        <v>Re-opener</v>
      </c>
      <c r="AK391" s="353"/>
      <c r="AL391" s="353" t="str">
        <f>SelectedInputs!AL80</f>
        <v>RPEs Don't Apply</v>
      </c>
      <c r="AM391" s="353">
        <f>SelectedInputs!AM80</f>
        <v>2</v>
      </c>
      <c r="AN391" s="515"/>
      <c r="AO391" s="287">
        <f>SelectedInputs!AO80</f>
        <v>0</v>
      </c>
      <c r="AP391" s="287">
        <f>SelectedInputs!AP80</f>
        <v>0</v>
      </c>
      <c r="AQ391" s="287">
        <f>SelectedInputs!AQ80</f>
        <v>1</v>
      </c>
      <c r="AR391" s="287">
        <f>SelectedInputs!AR80</f>
        <v>0</v>
      </c>
      <c r="AS391" s="287">
        <f>SelectedInputs!AS80</f>
        <v>0</v>
      </c>
      <c r="AT391" s="287">
        <f>SelectedInputs!AT80</f>
        <v>0</v>
      </c>
      <c r="AU391" s="287">
        <f>SelectedInputs!AU80</f>
        <v>0</v>
      </c>
      <c r="AV391" s="521"/>
    </row>
    <row r="392" spans="1:48" ht="15.75">
      <c r="A392" s="82"/>
      <c r="B392" s="82"/>
      <c r="C392" s="82"/>
      <c r="D392" s="82"/>
      <c r="E392" s="82" t="str">
        <f t="shared" si="17"/>
        <v>Electricity System Restoration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SelectedInputs!AJ81</f>
        <v>Re-opener</v>
      </c>
      <c r="AK392" s="353"/>
      <c r="AL392" s="353" t="str">
        <f>SelectedInputs!AL81</f>
        <v>RPEs Don't Apply</v>
      </c>
      <c r="AM392" s="353">
        <f>SelectedInputs!AM81</f>
        <v>2</v>
      </c>
      <c r="AN392" s="515"/>
      <c r="AO392" s="287">
        <f>SelectedInputs!AO81</f>
        <v>0</v>
      </c>
      <c r="AP392" s="287">
        <f>SelectedInputs!AP81</f>
        <v>1</v>
      </c>
      <c r="AQ392" s="287">
        <f>SelectedInputs!AQ81</f>
        <v>0</v>
      </c>
      <c r="AR392" s="287">
        <f>SelectedInputs!AR81</f>
        <v>0</v>
      </c>
      <c r="AS392" s="287">
        <f>SelectedInputs!AS81</f>
        <v>0</v>
      </c>
      <c r="AT392" s="287">
        <f>SelectedInputs!AT81</f>
        <v>0</v>
      </c>
      <c r="AU392" s="287">
        <f>SelectedInputs!AU81</f>
        <v>0</v>
      </c>
      <c r="AV392" s="521"/>
    </row>
    <row r="393" spans="1:48" ht="15.75">
      <c r="A393" s="82"/>
      <c r="B393" s="82"/>
      <c r="C393" s="82"/>
      <c r="D393" s="82"/>
      <c r="E393" s="82" t="str">
        <f t="shared" si="17"/>
        <v>Environmental Re-opener</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SelectedInputs!AJ82</f>
        <v>Re-opener</v>
      </c>
      <c r="AK393" s="353"/>
      <c r="AL393" s="353" t="str">
        <f>SelectedInputs!AL82</f>
        <v>RPEs Don't Apply</v>
      </c>
      <c r="AM393" s="353">
        <f>SelectedInputs!AM82</f>
        <v>2</v>
      </c>
      <c r="AN393" s="515"/>
      <c r="AO393" s="287">
        <f>SelectedInputs!AO82</f>
        <v>0</v>
      </c>
      <c r="AP393" s="287">
        <f>SelectedInputs!AP82</f>
        <v>1</v>
      </c>
      <c r="AQ393" s="287">
        <f>SelectedInputs!AQ82</f>
        <v>0</v>
      </c>
      <c r="AR393" s="287">
        <f>SelectedInputs!AR82</f>
        <v>0</v>
      </c>
      <c r="AS393" s="287">
        <f>SelectedInputs!AS82</f>
        <v>0</v>
      </c>
      <c r="AT393" s="287">
        <f>SelectedInputs!AT82</f>
        <v>0</v>
      </c>
      <c r="AU393" s="287">
        <f>SelectedInputs!AU82</f>
        <v>0</v>
      </c>
      <c r="AV393" s="521"/>
    </row>
    <row r="394" spans="1:48" ht="15.75">
      <c r="A394" s="82"/>
      <c r="B394" s="82"/>
      <c r="C394" s="82"/>
      <c r="D394" s="82"/>
      <c r="E394" s="82" t="str">
        <f t="shared" si="17"/>
        <v>Network Asset Risk Metric Expenditure</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SelectedInputs!AJ83</f>
        <v>PCD</v>
      </c>
      <c r="AK394" s="353"/>
      <c r="AL394" s="353" t="str">
        <f>SelectedInputs!AL83</f>
        <v>RPEs Apply</v>
      </c>
      <c r="AM394" s="353">
        <f>SelectedInputs!AM83</f>
        <v>1</v>
      </c>
      <c r="AN394" s="515"/>
      <c r="AO394" s="287">
        <f>SelectedInputs!AO83</f>
        <v>0</v>
      </c>
      <c r="AP394" s="287">
        <f>SelectedInputs!AP83</f>
        <v>1</v>
      </c>
      <c r="AQ394" s="287">
        <f>SelectedInputs!AQ83</f>
        <v>0</v>
      </c>
      <c r="AR394" s="287">
        <f>SelectedInputs!AR83</f>
        <v>0</v>
      </c>
      <c r="AS394" s="287">
        <f>SelectedInputs!AS83</f>
        <v>0</v>
      </c>
      <c r="AT394" s="287">
        <f>SelectedInputs!AT83</f>
        <v>0</v>
      </c>
      <c r="AU394" s="287">
        <f>SelectedInputs!AU83</f>
        <v>0</v>
      </c>
      <c r="AV394" s="521"/>
    </row>
    <row r="395" spans="1:48" ht="15.75">
      <c r="A395" s="82"/>
      <c r="B395" s="82"/>
      <c r="C395" s="82"/>
      <c r="D395" s="82"/>
      <c r="E395" s="82" t="str">
        <f t="shared" si="17"/>
        <v>Load Related Expenditure: Secondary Reinforcement</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SelectedInputs!AJ84</f>
        <v>Volume driver</v>
      </c>
      <c r="AK395" s="353"/>
      <c r="AL395" s="353" t="str">
        <f>SelectedInputs!AL84</f>
        <v>RPEs Apply</v>
      </c>
      <c r="AM395" s="353">
        <f>SelectedInputs!AM84</f>
        <v>2</v>
      </c>
      <c r="AN395" s="515"/>
      <c r="AO395" s="287">
        <f>SelectedInputs!AO84</f>
        <v>1</v>
      </c>
      <c r="AP395" s="287">
        <f>SelectedInputs!AP84</f>
        <v>0</v>
      </c>
      <c r="AQ395" s="287">
        <f>SelectedInputs!AQ84</f>
        <v>0</v>
      </c>
      <c r="AR395" s="287">
        <f>SelectedInputs!AR84</f>
        <v>0</v>
      </c>
      <c r="AS395" s="287">
        <f>SelectedInputs!AS84</f>
        <v>0</v>
      </c>
      <c r="AT395" s="287">
        <f>SelectedInputs!AT84</f>
        <v>0</v>
      </c>
      <c r="AU395" s="287">
        <f>SelectedInputs!AU84</f>
        <v>0</v>
      </c>
      <c r="AV395" s="521"/>
    </row>
    <row r="396" spans="1:48" ht="15.75">
      <c r="A396" s="82"/>
      <c r="B396" s="82"/>
      <c r="C396" s="82"/>
      <c r="D396" s="82"/>
      <c r="E396" s="82" t="str">
        <f t="shared" si="17"/>
        <v>Load Related Expenditure: Low Voltage Services</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SelectedInputs!AJ85</f>
        <v>Volume driver</v>
      </c>
      <c r="AK396" s="353"/>
      <c r="AL396" s="353" t="str">
        <f>SelectedInputs!AL85</f>
        <v>RPEs Apply</v>
      </c>
      <c r="AM396" s="353">
        <f>SelectedInputs!AM85</f>
        <v>2</v>
      </c>
      <c r="AN396" s="515"/>
      <c r="AO396" s="287">
        <f>SelectedInputs!AO85</f>
        <v>1</v>
      </c>
      <c r="AP396" s="287">
        <f>SelectedInputs!AP85</f>
        <v>0</v>
      </c>
      <c r="AQ396" s="287">
        <f>SelectedInputs!AQ85</f>
        <v>0</v>
      </c>
      <c r="AR396" s="287">
        <f>SelectedInputs!AR85</f>
        <v>0</v>
      </c>
      <c r="AS396" s="287">
        <f>SelectedInputs!AS85</f>
        <v>0</v>
      </c>
      <c r="AT396" s="287">
        <f>SelectedInputs!AT85</f>
        <v>0</v>
      </c>
      <c r="AU396" s="287">
        <f>SelectedInputs!AU85</f>
        <v>0</v>
      </c>
      <c r="AV396" s="521"/>
    </row>
    <row r="397" spans="1:48" ht="15.75">
      <c r="A397" s="82"/>
      <c r="B397" s="82"/>
      <c r="C397" s="82"/>
      <c r="D397" s="82"/>
      <c r="E397" s="82" t="str">
        <f t="shared" si="17"/>
        <v>Load Related Expenditure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SelectedInputs!AJ86</f>
        <v>Re-opener</v>
      </c>
      <c r="AK397" s="353"/>
      <c r="AL397" s="353" t="str">
        <f>SelectedInputs!AL86</f>
        <v>RPEs Don't Apply</v>
      </c>
      <c r="AM397" s="353">
        <f>SelectedInputs!AM86</f>
        <v>2</v>
      </c>
      <c r="AN397" s="515"/>
      <c r="AO397" s="287">
        <f>SelectedInputs!AO86</f>
        <v>1</v>
      </c>
      <c r="AP397" s="287">
        <f>SelectedInputs!AP86</f>
        <v>0</v>
      </c>
      <c r="AQ397" s="287">
        <f>SelectedInputs!AQ86</f>
        <v>0</v>
      </c>
      <c r="AR397" s="287">
        <f>SelectedInputs!AR86</f>
        <v>0</v>
      </c>
      <c r="AS397" s="287">
        <f>SelectedInputs!AS86</f>
        <v>0</v>
      </c>
      <c r="AT397" s="287">
        <f>SelectedInputs!AT86</f>
        <v>0</v>
      </c>
      <c r="AU397" s="287">
        <f>SelectedInputs!AU86</f>
        <v>0</v>
      </c>
      <c r="AV397" s="521"/>
    </row>
    <row r="398" spans="1:48" ht="15.75">
      <c r="A398" s="82"/>
      <c r="B398" s="82"/>
      <c r="C398" s="82"/>
      <c r="D398" s="82"/>
      <c r="E398" s="82" t="str">
        <f t="shared" si="17"/>
        <v>Digitalisation Re-opener</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SelectedInputs!AJ87</f>
        <v>Re-opener</v>
      </c>
      <c r="AK398" s="353"/>
      <c r="AL398" s="353" t="str">
        <f>SelectedInputs!AL87</f>
        <v>RPEs Don't Apply</v>
      </c>
      <c r="AM398" s="353">
        <f>SelectedInputs!AM87</f>
        <v>2</v>
      </c>
      <c r="AN398" s="515"/>
      <c r="AO398" s="287">
        <f>SelectedInputs!AO87</f>
        <v>0</v>
      </c>
      <c r="AP398" s="287">
        <f>SelectedInputs!AP87</f>
        <v>0</v>
      </c>
      <c r="AQ398" s="287">
        <f>SelectedInputs!AQ87</f>
        <v>0.5</v>
      </c>
      <c r="AR398" s="287">
        <f>SelectedInputs!AR87</f>
        <v>0</v>
      </c>
      <c r="AS398" s="287">
        <f>SelectedInputs!AS87</f>
        <v>0</v>
      </c>
      <c r="AT398" s="287">
        <f>SelectedInputs!AT87</f>
        <v>0</v>
      </c>
      <c r="AU398" s="287">
        <f>SelectedInputs!AU87</f>
        <v>0.5</v>
      </c>
      <c r="AV398" s="521"/>
    </row>
    <row r="399" spans="1:48" ht="15.75">
      <c r="A399" s="82"/>
      <c r="B399" s="82"/>
      <c r="C399" s="82"/>
      <c r="D399" s="82"/>
      <c r="E399" s="82" t="str">
        <f t="shared" si="17"/>
        <v>PCB Interventions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SelectedInputs!AJ88</f>
        <v>Volume driver</v>
      </c>
      <c r="AK399" s="353"/>
      <c r="AL399" s="353" t="str">
        <f>SelectedInputs!AL88</f>
        <v>RPEs Apply</v>
      </c>
      <c r="AM399" s="353">
        <f>SelectedInputs!AM88</f>
        <v>2</v>
      </c>
      <c r="AN399" s="515"/>
      <c r="AO399" s="287">
        <f>SelectedInputs!AO88</f>
        <v>0</v>
      </c>
      <c r="AP399" s="287">
        <f>SelectedInputs!AP88</f>
        <v>1</v>
      </c>
      <c r="AQ399" s="287">
        <f>SelectedInputs!AQ88</f>
        <v>0</v>
      </c>
      <c r="AR399" s="287">
        <f>SelectedInputs!AR88</f>
        <v>0</v>
      </c>
      <c r="AS399" s="287">
        <f>SelectedInputs!AS88</f>
        <v>0</v>
      </c>
      <c r="AT399" s="287">
        <f>SelectedInputs!AT88</f>
        <v>0</v>
      </c>
      <c r="AU399" s="287">
        <f>SelectedInputs!AU88</f>
        <v>0</v>
      </c>
      <c r="AV399" s="521"/>
    </row>
    <row r="400" spans="1:48" ht="15.75">
      <c r="A400" s="82"/>
      <c r="B400" s="82"/>
      <c r="C400" s="82"/>
      <c r="D400" s="82"/>
      <c r="E400" s="82" t="str">
        <f t="shared" si="17"/>
        <v>Visual Amenity Projects</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SelectedInputs!AJ89</f>
        <v>UIOLI</v>
      </c>
      <c r="AK400" s="353"/>
      <c r="AL400" s="353" t="str">
        <f>SelectedInputs!AL89</f>
        <v>RPEs Don't Apply</v>
      </c>
      <c r="AM400" s="353">
        <f>SelectedInputs!AM89</f>
        <v>1</v>
      </c>
      <c r="AN400" s="515"/>
      <c r="AO400" s="287">
        <f>SelectedInputs!AO89</f>
        <v>0</v>
      </c>
      <c r="AP400" s="287">
        <f>SelectedInputs!AP89</f>
        <v>0</v>
      </c>
      <c r="AQ400" s="287">
        <f>SelectedInputs!AQ89</f>
        <v>1</v>
      </c>
      <c r="AR400" s="287">
        <f>SelectedInputs!AR89</f>
        <v>0</v>
      </c>
      <c r="AS400" s="287">
        <f>SelectedInputs!AS89</f>
        <v>0</v>
      </c>
      <c r="AT400" s="287">
        <f>SelectedInputs!AT89</f>
        <v>0</v>
      </c>
      <c r="AU400" s="287">
        <f>SelectedInputs!AU89</f>
        <v>0</v>
      </c>
      <c r="AV400" s="521"/>
    </row>
    <row r="401" spans="1:48" ht="15.75">
      <c r="A401" s="82"/>
      <c r="B401" s="82"/>
      <c r="C401" s="82"/>
      <c r="D401" s="82"/>
      <c r="E401" s="82" t="str">
        <f t="shared" si="17"/>
        <v>Cyber Resilience OT baseline</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SelectedInputs!AJ90</f>
        <v>PCD</v>
      </c>
      <c r="AK401" s="353"/>
      <c r="AL401" s="353" t="str">
        <f>SelectedInputs!AL90</f>
        <v>RPEs Apply</v>
      </c>
      <c r="AM401" s="353">
        <f>SelectedInputs!AM90</f>
        <v>1</v>
      </c>
      <c r="AN401" s="515"/>
      <c r="AO401" s="287">
        <f>SelectedInputs!AO90</f>
        <v>0</v>
      </c>
      <c r="AP401" s="287">
        <f>SelectedInputs!AP90</f>
        <v>0</v>
      </c>
      <c r="AQ401" s="287">
        <f>SelectedInputs!AQ90</f>
        <v>1</v>
      </c>
      <c r="AR401" s="287">
        <f>SelectedInputs!AR90</f>
        <v>0</v>
      </c>
      <c r="AS401" s="287">
        <f>SelectedInputs!AS90</f>
        <v>0</v>
      </c>
      <c r="AT401" s="287">
        <f>SelectedInputs!AT90</f>
        <v>0</v>
      </c>
      <c r="AU401" s="287">
        <f>SelectedInputs!AU90</f>
        <v>0</v>
      </c>
      <c r="AV401" s="521"/>
    </row>
    <row r="402" spans="1:48" ht="15.75">
      <c r="A402" s="82"/>
      <c r="B402" s="82"/>
      <c r="C402" s="82"/>
      <c r="D402" s="82"/>
      <c r="E402" s="82" t="str">
        <f t="shared" si="17"/>
        <v>Cyber Resilience OT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SelectedInputs!AJ91</f>
        <v>Re-opener</v>
      </c>
      <c r="AK402" s="353"/>
      <c r="AL402" s="353" t="str">
        <f>SelectedInputs!AL91</f>
        <v>RPEs Don't Apply</v>
      </c>
      <c r="AM402" s="353">
        <f>SelectedInputs!AM91</f>
        <v>2</v>
      </c>
      <c r="AN402" s="515"/>
      <c r="AO402" s="287">
        <f>SelectedInputs!AO91</f>
        <v>0</v>
      </c>
      <c r="AP402" s="287">
        <f>SelectedInputs!AP91</f>
        <v>0</v>
      </c>
      <c r="AQ402" s="287">
        <f>SelectedInputs!AQ91</f>
        <v>1</v>
      </c>
      <c r="AR402" s="287">
        <f>SelectedInputs!AR91</f>
        <v>0</v>
      </c>
      <c r="AS402" s="287">
        <f>SelectedInputs!AS91</f>
        <v>0</v>
      </c>
      <c r="AT402" s="287">
        <f>SelectedInputs!AT91</f>
        <v>0</v>
      </c>
      <c r="AU402" s="287">
        <f>SelectedInputs!AU91</f>
        <v>0</v>
      </c>
      <c r="AV402" s="521"/>
    </row>
    <row r="403" spans="1:48" ht="15.75">
      <c r="A403" s="82"/>
      <c r="B403" s="82"/>
      <c r="C403" s="82"/>
      <c r="D403" s="82"/>
      <c r="E403" s="82" t="str">
        <f t="shared" si="17"/>
        <v>Cyber Resilience IT Re-opener</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SelectedInputs!AJ92</f>
        <v>Re-opener</v>
      </c>
      <c r="AK403" s="353"/>
      <c r="AL403" s="353" t="str">
        <f>SelectedInputs!AL92</f>
        <v>RPEs Don't Apply</v>
      </c>
      <c r="AM403" s="353">
        <f>SelectedInputs!AM92</f>
        <v>2</v>
      </c>
      <c r="AN403" s="515"/>
      <c r="AO403" s="287">
        <f>SelectedInputs!AO92</f>
        <v>0</v>
      </c>
      <c r="AP403" s="287">
        <f>SelectedInputs!AP92</f>
        <v>0</v>
      </c>
      <c r="AQ403" s="287">
        <f>SelectedInputs!AQ92</f>
        <v>0</v>
      </c>
      <c r="AR403" s="287">
        <f>SelectedInputs!AR92</f>
        <v>0</v>
      </c>
      <c r="AS403" s="287">
        <f>SelectedInputs!AS92</f>
        <v>0</v>
      </c>
      <c r="AT403" s="287">
        <f>SelectedInputs!AT92</f>
        <v>0</v>
      </c>
      <c r="AU403" s="287">
        <f>SelectedInputs!AU92</f>
        <v>1</v>
      </c>
      <c r="AV403" s="521"/>
    </row>
    <row r="404" spans="1:48" ht="15.75">
      <c r="A404" s="82"/>
      <c r="B404" s="82"/>
      <c r="C404" s="82"/>
      <c r="D404" s="82"/>
      <c r="E404" s="82" t="str">
        <f t="shared" si="17"/>
        <v>Off-gas Grid Mechanistic Price Control Deliverable</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SelectedInputs!AJ93</f>
        <v>PCD</v>
      </c>
      <c r="AK404" s="353"/>
      <c r="AL404" s="353" t="str">
        <f>SelectedInputs!AL93</f>
        <v>RPEs Apply</v>
      </c>
      <c r="AM404" s="353">
        <f>SelectedInputs!AM93</f>
        <v>1</v>
      </c>
      <c r="AN404" s="515"/>
      <c r="AO404" s="287">
        <f>SelectedInputs!AO93</f>
        <v>1</v>
      </c>
      <c r="AP404" s="287">
        <f>SelectedInputs!AP93</f>
        <v>0</v>
      </c>
      <c r="AQ404" s="287">
        <f>SelectedInputs!AQ93</f>
        <v>0</v>
      </c>
      <c r="AR404" s="287">
        <f>SelectedInputs!AR93</f>
        <v>0</v>
      </c>
      <c r="AS404" s="287">
        <f>SelectedInputs!AS93</f>
        <v>0</v>
      </c>
      <c r="AT404" s="287">
        <f>SelectedInputs!AT93</f>
        <v>0</v>
      </c>
      <c r="AU404" s="287">
        <f>SelectedInputs!AU93</f>
        <v>0</v>
      </c>
      <c r="AV404" s="521"/>
    </row>
    <row r="405" spans="1:48" ht="15.75">
      <c r="A405" s="82"/>
      <c r="B405" s="82"/>
      <c r="C405" s="82"/>
      <c r="D405" s="82"/>
      <c r="E405" s="82" t="str">
        <f t="shared" si="17"/>
        <v>Shetland Link Contribution (SSEH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SelectedInputs!AJ94</f>
        <v>Other</v>
      </c>
      <c r="AK405" s="353"/>
      <c r="AL405" s="353" t="str">
        <f>SelectedInputs!AL94</f>
        <v>RPEs Don't Apply</v>
      </c>
      <c r="AM405" s="353">
        <f>SelectedInputs!AM94</f>
        <v>2</v>
      </c>
      <c r="AN405" s="515"/>
      <c r="AO405" s="287">
        <f>SelectedInputs!AO94</f>
        <v>0</v>
      </c>
      <c r="AP405" s="287">
        <f>SelectedInputs!AP94</f>
        <v>0</v>
      </c>
      <c r="AQ405" s="287">
        <f>SelectedInputs!AQ94</f>
        <v>0.9</v>
      </c>
      <c r="AR405" s="287">
        <f>SelectedInputs!AR94</f>
        <v>0</v>
      </c>
      <c r="AS405" s="287">
        <f>SelectedInputs!AS94</f>
        <v>0</v>
      </c>
      <c r="AT405" s="287">
        <f>SelectedInputs!AT94</f>
        <v>0</v>
      </c>
      <c r="AU405" s="287">
        <f>SelectedInputs!AU94</f>
        <v>0.1</v>
      </c>
      <c r="AV405" s="521"/>
    </row>
    <row r="406" spans="1:48" ht="15.75">
      <c r="A406" s="82"/>
      <c r="B406" s="82"/>
      <c r="C406" s="82"/>
      <c r="D406" s="82"/>
      <c r="E406" s="82" t="str">
        <f t="shared" si="17"/>
        <v>West Coast of Cumbria Re-opener (ENWL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SelectedInputs!AJ95</f>
        <v>Re-opener</v>
      </c>
      <c r="AK406" s="353"/>
      <c r="AL406" s="353" t="str">
        <f>SelectedInputs!AL95</f>
        <v>RPEs Don't Apply</v>
      </c>
      <c r="AM406" s="353">
        <f>SelectedInputs!AM95</f>
        <v>2</v>
      </c>
      <c r="AN406" s="515"/>
      <c r="AO406" s="287">
        <f>SelectedInputs!AO95</f>
        <v>0</v>
      </c>
      <c r="AP406" s="287">
        <f>SelectedInputs!AP95</f>
        <v>0</v>
      </c>
      <c r="AQ406" s="287">
        <f>SelectedInputs!AQ95</f>
        <v>1</v>
      </c>
      <c r="AR406" s="287">
        <f>SelectedInputs!AR95</f>
        <v>0</v>
      </c>
      <c r="AS406" s="287">
        <f>SelectedInputs!AS95</f>
        <v>0</v>
      </c>
      <c r="AT406" s="287">
        <f>SelectedInputs!AT95</f>
        <v>0</v>
      </c>
      <c r="AU406" s="287">
        <f>SelectedInputs!AU95</f>
        <v>0</v>
      </c>
      <c r="AV406" s="521"/>
    </row>
    <row r="407" spans="1:48" ht="15.75">
      <c r="A407" s="82"/>
      <c r="B407" s="82"/>
      <c r="C407" s="82"/>
      <c r="D407" s="82"/>
      <c r="E407" s="82" t="str">
        <f t="shared" si="17"/>
        <v>Shetland Enduring Solution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SelectedInputs!AJ96</f>
        <v>Re-opener</v>
      </c>
      <c r="AK407" s="353"/>
      <c r="AL407" s="353" t="str">
        <f>SelectedInputs!AL96</f>
        <v>RPEs Don't Apply</v>
      </c>
      <c r="AM407" s="353">
        <f>SelectedInputs!AM96</f>
        <v>2</v>
      </c>
      <c r="AN407" s="515"/>
      <c r="AO407" s="287">
        <f>SelectedInputs!AO96</f>
        <v>0</v>
      </c>
      <c r="AP407" s="287">
        <f>SelectedInputs!AP96</f>
        <v>0</v>
      </c>
      <c r="AQ407" s="287">
        <f>SelectedInputs!AQ96</f>
        <v>0</v>
      </c>
      <c r="AR407" s="287">
        <f>SelectedInputs!AR96</f>
        <v>0</v>
      </c>
      <c r="AS407" s="287">
        <f>SelectedInputs!AS96</f>
        <v>0</v>
      </c>
      <c r="AT407" s="287">
        <f>SelectedInputs!AT96</f>
        <v>0</v>
      </c>
      <c r="AU407" s="287">
        <f>SelectedInputs!AU96</f>
        <v>1</v>
      </c>
      <c r="AV407" s="521"/>
    </row>
    <row r="408" spans="1:48" ht="15.75">
      <c r="A408" s="82"/>
      <c r="B408" s="82"/>
      <c r="C408" s="82"/>
      <c r="D408" s="82"/>
      <c r="E408" s="82" t="str">
        <f t="shared" si="17"/>
        <v>Shetland Extension Fixed Energy Costs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SelectedInputs!AJ97</f>
        <v>Re-opener</v>
      </c>
      <c r="AK408" s="353"/>
      <c r="AL408" s="353" t="str">
        <f>SelectedInputs!AL97</f>
        <v>RPEs Don't Apply</v>
      </c>
      <c r="AM408" s="353">
        <f>SelectedInputs!AM97</f>
        <v>2</v>
      </c>
      <c r="AN408" s="515"/>
      <c r="AO408" s="287">
        <f>SelectedInputs!AO97</f>
        <v>0</v>
      </c>
      <c r="AP408" s="287">
        <f>SelectedInputs!AP97</f>
        <v>1</v>
      </c>
      <c r="AQ408" s="287">
        <f>SelectedInputs!AQ97</f>
        <v>0</v>
      </c>
      <c r="AR408" s="287">
        <f>SelectedInputs!AR97</f>
        <v>0</v>
      </c>
      <c r="AS408" s="287">
        <f>SelectedInputs!AS97</f>
        <v>0</v>
      </c>
      <c r="AT408" s="287">
        <f>SelectedInputs!AT97</f>
        <v>0</v>
      </c>
      <c r="AU408" s="287">
        <f>SelectedInputs!AU97</f>
        <v>0</v>
      </c>
      <c r="AV408" s="521"/>
    </row>
    <row r="409" spans="1:48" ht="15.75">
      <c r="A409" s="82"/>
      <c r="B409" s="82"/>
      <c r="C409" s="82"/>
      <c r="D409" s="82"/>
      <c r="E409" s="82" t="str">
        <f t="shared" si="17"/>
        <v>Hebrides and Orkney Re-opener (SSEH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SelectedInputs!AJ98</f>
        <v>Re-opener</v>
      </c>
      <c r="AK409" s="353"/>
      <c r="AL409" s="353" t="str">
        <f>SelectedInputs!AL98</f>
        <v>RPEs Don't Apply</v>
      </c>
      <c r="AM409" s="353">
        <f>SelectedInputs!AM98</f>
        <v>2</v>
      </c>
      <c r="AN409" s="515"/>
      <c r="AO409" s="287">
        <f>SelectedInputs!AO98</f>
        <v>0</v>
      </c>
      <c r="AP409" s="287">
        <f>SelectedInputs!AP98</f>
        <v>1</v>
      </c>
      <c r="AQ409" s="287">
        <f>SelectedInputs!AQ98</f>
        <v>0</v>
      </c>
      <c r="AR409" s="287">
        <f>SelectedInputs!AR98</f>
        <v>0</v>
      </c>
      <c r="AS409" s="287">
        <f>SelectedInputs!AS98</f>
        <v>0</v>
      </c>
      <c r="AT409" s="287">
        <f>SelectedInputs!AT98</f>
        <v>0</v>
      </c>
      <c r="AU409" s="287">
        <f>SelectedInputs!AU98</f>
        <v>0</v>
      </c>
      <c r="AV409" s="521"/>
    </row>
    <row r="410" spans="1:48" ht="15.75">
      <c r="A410" s="82"/>
      <c r="B410" s="82"/>
      <c r="C410" s="82"/>
      <c r="D410" s="82"/>
      <c r="E410" s="82" t="str">
        <f t="shared" si="17"/>
        <v>Smart Street Mechanistic Price Control Deliverable (ENWL only)</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SelectedInputs!AJ99</f>
        <v>PCD</v>
      </c>
      <c r="AK410" s="353"/>
      <c r="AL410" s="353" t="str">
        <f>SelectedInputs!AL99</f>
        <v>RPEs Apply</v>
      </c>
      <c r="AM410" s="353">
        <f>SelectedInputs!AM99</f>
        <v>1</v>
      </c>
      <c r="AN410" s="515"/>
      <c r="AO410" s="287">
        <f>SelectedInputs!AO99</f>
        <v>1</v>
      </c>
      <c r="AP410" s="287">
        <f>SelectedInputs!AP99</f>
        <v>0</v>
      </c>
      <c r="AQ410" s="287">
        <f>SelectedInputs!AQ99</f>
        <v>0</v>
      </c>
      <c r="AR410" s="287">
        <f>SelectedInputs!AR99</f>
        <v>0</v>
      </c>
      <c r="AS410" s="287">
        <f>SelectedInputs!AS99</f>
        <v>0</v>
      </c>
      <c r="AT410" s="287">
        <f>SelectedInputs!AT99</f>
        <v>0</v>
      </c>
      <c r="AU410" s="287">
        <f>SelectedInputs!AU99</f>
        <v>0</v>
      </c>
      <c r="AV410" s="521"/>
    </row>
    <row r="411" spans="1:48" ht="15.75">
      <c r="A411" s="82"/>
      <c r="B411" s="82"/>
      <c r="C411" s="82"/>
      <c r="D411" s="82"/>
      <c r="E411" s="82" t="str">
        <f t="shared" si="17"/>
        <v>Worst Served Customers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SelectedInputs!AJ100</f>
        <v>UIOLI</v>
      </c>
      <c r="AK411" s="353"/>
      <c r="AL411" s="353" t="str">
        <f>SelectedInputs!AL100</f>
        <v>RPEs Don't Apply</v>
      </c>
      <c r="AM411" s="353">
        <f>SelectedInputs!AM100</f>
        <v>1</v>
      </c>
      <c r="AN411" s="515"/>
      <c r="AO411" s="287">
        <f>SelectedInputs!AO100</f>
        <v>0</v>
      </c>
      <c r="AP411" s="287">
        <f>SelectedInputs!AP100</f>
        <v>0</v>
      </c>
      <c r="AQ411" s="287">
        <f>SelectedInputs!AQ100</f>
        <v>1</v>
      </c>
      <c r="AR411" s="287">
        <f>SelectedInputs!AR100</f>
        <v>0</v>
      </c>
      <c r="AS411" s="287">
        <f>SelectedInputs!AS100</f>
        <v>0</v>
      </c>
      <c r="AT411" s="287">
        <f>SelectedInputs!AT100</f>
        <v>0</v>
      </c>
      <c r="AU411" s="287">
        <f>SelectedInputs!AU100</f>
        <v>0</v>
      </c>
      <c r="AV411" s="521"/>
    </row>
    <row r="412" spans="1:48" ht="15.75">
      <c r="A412" s="82"/>
      <c r="B412" s="82"/>
      <c r="C412" s="82"/>
      <c r="D412" s="82"/>
      <c r="E412" s="82" t="str">
        <f t="shared" si="17"/>
        <v>EV Optioneering Projects</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SelectedInputs!AJ101</f>
        <v>UIOLI</v>
      </c>
      <c r="AK412" s="353"/>
      <c r="AL412" s="353" t="str">
        <f>SelectedInputs!AL101</f>
        <v>RPEs Don't Apply</v>
      </c>
      <c r="AM412" s="353">
        <f>SelectedInputs!AM101</f>
        <v>1</v>
      </c>
      <c r="AN412" s="515"/>
      <c r="AO412" s="287">
        <f>SelectedInputs!AO101</f>
        <v>0</v>
      </c>
      <c r="AP412" s="287">
        <f>SelectedInputs!AP101</f>
        <v>0</v>
      </c>
      <c r="AQ412" s="287">
        <f>SelectedInputs!AQ101</f>
        <v>0</v>
      </c>
      <c r="AR412" s="287">
        <f>SelectedInputs!AR101</f>
        <v>0</v>
      </c>
      <c r="AS412" s="287">
        <f>SelectedInputs!AS101</f>
        <v>0</v>
      </c>
      <c r="AT412" s="287">
        <f>SelectedInputs!AT101</f>
        <v>0</v>
      </c>
      <c r="AU412" s="287">
        <f>SelectedInputs!AU101</f>
        <v>1</v>
      </c>
      <c r="AV412" s="521"/>
    </row>
    <row r="413" spans="1:48" ht="15.75">
      <c r="A413" s="82"/>
      <c r="B413" s="82"/>
      <c r="C413" s="82"/>
      <c r="D413" s="82"/>
      <c r="E413" s="82" t="str">
        <f t="shared" si="17"/>
        <v>Cyber Resilience IT baseline</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SelectedInputs!AJ102</f>
        <v>PCD</v>
      </c>
      <c r="AK413" s="353"/>
      <c r="AL413" s="353" t="str">
        <f>SelectedInputs!AL102</f>
        <v>RPEs Apply</v>
      </c>
      <c r="AM413" s="353">
        <f>SelectedInputs!AM102</f>
        <v>1</v>
      </c>
      <c r="AN413" s="515"/>
      <c r="AO413" s="287">
        <f>SelectedInputs!AO102</f>
        <v>0</v>
      </c>
      <c r="AP413" s="287">
        <f>SelectedInputs!AP102</f>
        <v>0</v>
      </c>
      <c r="AQ413" s="287">
        <f>SelectedInputs!AQ102</f>
        <v>0</v>
      </c>
      <c r="AR413" s="287">
        <f>SelectedInputs!AR102</f>
        <v>0</v>
      </c>
      <c r="AS413" s="287">
        <f>SelectedInputs!AS102</f>
        <v>0</v>
      </c>
      <c r="AT413" s="287">
        <f>SelectedInputs!AT102</f>
        <v>0</v>
      </c>
      <c r="AU413" s="287">
        <f>SelectedInputs!AU102</f>
        <v>1</v>
      </c>
      <c r="AV413" s="521"/>
    </row>
    <row r="414" spans="1:48" ht="15.75">
      <c r="A414" s="82"/>
      <c r="B414" s="82"/>
      <c r="C414" s="82"/>
      <c r="D414" s="82"/>
      <c r="E414" s="82" t="str">
        <f t="shared" si="17"/>
        <v>Wayleaves and Diversions Re-opener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SelectedInputs!AJ103</f>
        <v>Re-opener</v>
      </c>
      <c r="AK414" s="353"/>
      <c r="AL414" s="353" t="str">
        <f>SelectedInputs!AL103</f>
        <v>RPEs Don't Apply</v>
      </c>
      <c r="AM414" s="353">
        <f>SelectedInputs!AM103</f>
        <v>2</v>
      </c>
      <c r="AN414" s="515"/>
      <c r="AO414" s="287">
        <f>SelectedInputs!AO103</f>
        <v>0</v>
      </c>
      <c r="AP414" s="287">
        <f>SelectedInputs!AP103</f>
        <v>1</v>
      </c>
      <c r="AQ414" s="287">
        <f>SelectedInputs!AQ103</f>
        <v>0</v>
      </c>
      <c r="AR414" s="287">
        <f>SelectedInputs!AR103</f>
        <v>0</v>
      </c>
      <c r="AS414" s="287">
        <f>SelectedInputs!AS103</f>
        <v>0</v>
      </c>
      <c r="AT414" s="287">
        <f>SelectedInputs!AT103</f>
        <v>0</v>
      </c>
      <c r="AU414" s="287">
        <f>SelectedInputs!AU103</f>
        <v>0</v>
      </c>
      <c r="AV414" s="521"/>
    </row>
    <row r="415" spans="1:48" ht="15.75">
      <c r="A415" s="82"/>
      <c r="B415" s="82"/>
      <c r="C415" s="82"/>
      <c r="D415" s="82"/>
      <c r="E415" s="82" t="str">
        <f t="shared" si="17"/>
        <v>Indirects Scaler</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SelectedInputs!AJ104</f>
        <v>Other</v>
      </c>
      <c r="AK415" s="353"/>
      <c r="AL415" s="353" t="str">
        <f>SelectedInputs!AL104</f>
        <v>RPEs Don't Apply</v>
      </c>
      <c r="AM415" s="353">
        <f>SelectedInputs!AM104</f>
        <v>2</v>
      </c>
      <c r="AN415" s="515"/>
      <c r="AO415" s="287">
        <f>SelectedInputs!AO104</f>
        <v>0</v>
      </c>
      <c r="AP415" s="287">
        <f>SelectedInputs!AP104</f>
        <v>0</v>
      </c>
      <c r="AQ415" s="287">
        <f>SelectedInputs!AQ104</f>
        <v>0</v>
      </c>
      <c r="AR415" s="287">
        <f>SelectedInputs!AR104</f>
        <v>0</v>
      </c>
      <c r="AS415" s="287">
        <f>SelectedInputs!AS104</f>
        <v>0</v>
      </c>
      <c r="AT415" s="287">
        <f>SelectedInputs!AT104</f>
        <v>0</v>
      </c>
      <c r="AU415" s="287">
        <f>SelectedInputs!AU104</f>
        <v>1</v>
      </c>
      <c r="AV415" s="521"/>
    </row>
    <row r="416" spans="1:48" ht="15.75">
      <c r="A416" s="82"/>
      <c r="B416" s="82"/>
      <c r="C416" s="82"/>
      <c r="D416" s="82"/>
      <c r="E416" s="82" t="str">
        <f t="shared" si="17"/>
        <v>LineSIGHT Mechanistic Price Control Deliverable (ENWL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SelectedInputs!AJ105</f>
        <v>PCD</v>
      </c>
      <c r="AK416" s="353"/>
      <c r="AL416" s="353" t="str">
        <f>SelectedInputs!AL105</f>
        <v>RPEs Apply</v>
      </c>
      <c r="AM416" s="353">
        <f>SelectedInputs!AM105</f>
        <v>1</v>
      </c>
      <c r="AN416" s="515"/>
      <c r="AO416" s="287">
        <f>SelectedInputs!AO105</f>
        <v>0</v>
      </c>
      <c r="AP416" s="287">
        <f>SelectedInputs!AP105</f>
        <v>1</v>
      </c>
      <c r="AQ416" s="287">
        <f>SelectedInputs!AQ105</f>
        <v>0</v>
      </c>
      <c r="AR416" s="287">
        <f>SelectedInputs!AR105</f>
        <v>0</v>
      </c>
      <c r="AS416" s="287">
        <f>SelectedInputs!AS105</f>
        <v>0</v>
      </c>
      <c r="AT416" s="287">
        <f>SelectedInputs!AT105</f>
        <v>0</v>
      </c>
      <c r="AU416" s="287">
        <f>SelectedInputs!AU105</f>
        <v>0</v>
      </c>
      <c r="AV416" s="521"/>
    </row>
    <row r="417" spans="1:48" ht="15.75">
      <c r="A417" s="82"/>
      <c r="B417" s="82"/>
      <c r="C417" s="82"/>
      <c r="D417" s="82"/>
      <c r="E417" s="82" t="str">
        <f t="shared" si="17"/>
        <v>New Depot (EMID, SWALES, SWEST and WMID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SelectedInputs!AJ106</f>
        <v>PCD</v>
      </c>
      <c r="AK417" s="353"/>
      <c r="AL417" s="353" t="str">
        <f>SelectedInputs!AL106</f>
        <v>RPEs Apply</v>
      </c>
      <c r="AM417" s="353">
        <f>SelectedInputs!AM106</f>
        <v>1</v>
      </c>
      <c r="AN417" s="515"/>
      <c r="AO417" s="287">
        <f>SelectedInputs!AO106</f>
        <v>0</v>
      </c>
      <c r="AP417" s="287">
        <f>SelectedInputs!AP106</f>
        <v>0</v>
      </c>
      <c r="AQ417" s="287">
        <f>SelectedInputs!AQ106</f>
        <v>1</v>
      </c>
      <c r="AR417" s="287">
        <f>SelectedInputs!AR106</f>
        <v>0</v>
      </c>
      <c r="AS417" s="287">
        <f>SelectedInputs!AS106</f>
        <v>0</v>
      </c>
      <c r="AT417" s="287">
        <f>SelectedInputs!AT106</f>
        <v>0</v>
      </c>
      <c r="AU417" s="287">
        <f>SelectedInputs!AU106</f>
        <v>0</v>
      </c>
      <c r="AV417" s="521"/>
    </row>
    <row r="418" spans="1:48" ht="15.75">
      <c r="A418" s="82"/>
      <c r="B418" s="82"/>
      <c r="C418" s="82"/>
      <c r="D418" s="82"/>
      <c r="E418" s="82" t="str">
        <f t="shared" si="17"/>
        <v>New Control Room (SSES and SSEH only)</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SelectedInputs!AJ107</f>
        <v>PCD</v>
      </c>
      <c r="AK418" s="353"/>
      <c r="AL418" s="353" t="str">
        <f>SelectedInputs!AL107</f>
        <v>RPEs Apply</v>
      </c>
      <c r="AM418" s="353">
        <f>SelectedInputs!AM107</f>
        <v>1</v>
      </c>
      <c r="AN418" s="515"/>
      <c r="AO418" s="287">
        <f>SelectedInputs!AO107</f>
        <v>0</v>
      </c>
      <c r="AP418" s="287">
        <f>SelectedInputs!AP107</f>
        <v>1</v>
      </c>
      <c r="AQ418" s="287">
        <f>SelectedInputs!AQ107</f>
        <v>0</v>
      </c>
      <c r="AR418" s="287">
        <f>SelectedInputs!AR107</f>
        <v>0</v>
      </c>
      <c r="AS418" s="287">
        <f>SelectedInputs!AS107</f>
        <v>0</v>
      </c>
      <c r="AT418" s="287">
        <f>SelectedInputs!AT107</f>
        <v>0</v>
      </c>
      <c r="AU418" s="287">
        <f>SelectedInputs!AU107</f>
        <v>0</v>
      </c>
      <c r="AV418" s="521"/>
    </row>
    <row r="419" spans="1:48" ht="15.75">
      <c r="A419" s="82"/>
      <c r="B419" s="82"/>
      <c r="C419" s="82"/>
      <c r="D419" s="82"/>
      <c r="E419" s="82" t="str">
        <f t="shared" si="17"/>
        <v>Storm Arwen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SelectedInputs!AJ108</f>
        <v>Re-opener</v>
      </c>
      <c r="AK419" s="353"/>
      <c r="AL419" s="353" t="str">
        <f>SelectedInputs!AL108</f>
        <v>RPEs Don't Apply</v>
      </c>
      <c r="AM419" s="353">
        <f>SelectedInputs!AM108</f>
        <v>2</v>
      </c>
      <c r="AN419" s="515"/>
      <c r="AO419" s="287">
        <f>SelectedInputs!AO108</f>
        <v>0</v>
      </c>
      <c r="AP419" s="287">
        <f>SelectedInputs!AP108</f>
        <v>0</v>
      </c>
      <c r="AQ419" s="287">
        <f>SelectedInputs!AQ108</f>
        <v>0</v>
      </c>
      <c r="AR419" s="287">
        <f>SelectedInputs!AR108</f>
        <v>1</v>
      </c>
      <c r="AS419" s="287">
        <f>SelectedInputs!AS108</f>
        <v>0</v>
      </c>
      <c r="AT419" s="287">
        <f>SelectedInputs!AT108</f>
        <v>0</v>
      </c>
      <c r="AU419" s="287">
        <f>SelectedInputs!AU108</f>
        <v>0</v>
      </c>
      <c r="AV419" s="521"/>
    </row>
    <row r="420" spans="1:48" ht="15.75">
      <c r="A420" s="82"/>
      <c r="B420" s="82"/>
      <c r="C420" s="82"/>
      <c r="D420" s="82"/>
      <c r="E420" s="82" t="str">
        <f t="shared" si="17"/>
        <v>High Value Projects Re-opener</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SelectedInputs!AJ109</f>
        <v>Re-opener</v>
      </c>
      <c r="AK420" s="353"/>
      <c r="AL420" s="353" t="str">
        <f>SelectedInputs!AL109</f>
        <v>RPEs Don't Apply</v>
      </c>
      <c r="AM420" s="353">
        <f>SelectedInputs!AM109</f>
        <v>2</v>
      </c>
      <c r="AN420" s="515"/>
      <c r="AO420" s="287">
        <f>SelectedInputs!AO109</f>
        <v>0</v>
      </c>
      <c r="AP420" s="287">
        <f>SelectedInputs!AP109</f>
        <v>1</v>
      </c>
      <c r="AQ420" s="287">
        <f>SelectedInputs!AQ109</f>
        <v>0</v>
      </c>
      <c r="AR420" s="287">
        <f>SelectedInputs!AR109</f>
        <v>0</v>
      </c>
      <c r="AS420" s="287">
        <f>SelectedInputs!AS109</f>
        <v>0</v>
      </c>
      <c r="AT420" s="287">
        <f>SelectedInputs!AT109</f>
        <v>0</v>
      </c>
      <c r="AU420" s="287">
        <f>SelectedInputs!AU109</f>
        <v>0</v>
      </c>
      <c r="AV420" s="521"/>
    </row>
    <row r="421" spans="1:48" ht="15.75">
      <c r="A421" s="82"/>
      <c r="B421" s="82"/>
      <c r="C421" s="82"/>
      <c r="D421" s="82"/>
      <c r="E421" s="82" t="str">
        <f t="shared" si="17"/>
        <v>Strategic Investment</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SelectedInputs!AJ110</f>
        <v>Other</v>
      </c>
      <c r="AK421" s="353"/>
      <c r="AL421" s="353" t="str">
        <f>SelectedInputs!AL110</f>
        <v>RPEs Don't Apply</v>
      </c>
      <c r="AM421" s="353">
        <f>SelectedInputs!AM110</f>
        <v>2</v>
      </c>
      <c r="AN421" s="515"/>
      <c r="AO421" s="287">
        <f>SelectedInputs!AO110</f>
        <v>1</v>
      </c>
      <c r="AP421" s="287">
        <f>SelectedInputs!AP110</f>
        <v>0</v>
      </c>
      <c r="AQ421" s="287">
        <f>SelectedInputs!AQ110</f>
        <v>0</v>
      </c>
      <c r="AR421" s="287">
        <f>SelectedInputs!AR110</f>
        <v>0</v>
      </c>
      <c r="AS421" s="287">
        <f>SelectedInputs!AS110</f>
        <v>0</v>
      </c>
      <c r="AT421" s="287">
        <f>SelectedInputs!AT110</f>
        <v>0</v>
      </c>
      <c r="AU421" s="287">
        <f>SelectedInputs!AU110</f>
        <v>0</v>
      </c>
      <c r="AV421" s="521"/>
    </row>
    <row r="422" spans="1:48" ht="15.75">
      <c r="A422" s="82"/>
      <c r="B422" s="82"/>
      <c r="C422" s="82"/>
      <c r="D422" s="82"/>
      <c r="E422" s="82" t="str">
        <f t="shared" si="17"/>
        <v>Carry-over Green Recovery Scheme</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SelectedInputs!AJ111</f>
        <v>Other</v>
      </c>
      <c r="AK422" s="353"/>
      <c r="AL422" s="353" t="str">
        <f>SelectedInputs!AL111</f>
        <v>RPEs Don't Apply</v>
      </c>
      <c r="AM422" s="353">
        <f>SelectedInputs!AM111</f>
        <v>2</v>
      </c>
      <c r="AN422" s="515"/>
      <c r="AO422" s="287">
        <f>SelectedInputs!AO111</f>
        <v>1</v>
      </c>
      <c r="AP422" s="287">
        <f>SelectedInputs!AP111</f>
        <v>0</v>
      </c>
      <c r="AQ422" s="287">
        <f>SelectedInputs!AQ111</f>
        <v>0</v>
      </c>
      <c r="AR422" s="287">
        <f>SelectedInputs!AR111</f>
        <v>0</v>
      </c>
      <c r="AS422" s="287">
        <f>SelectedInputs!AS111</f>
        <v>0</v>
      </c>
      <c r="AT422" s="287">
        <f>SelectedInputs!AT111</f>
        <v>0</v>
      </c>
      <c r="AU422" s="287">
        <f>SelectedInputs!AU111</f>
        <v>0</v>
      </c>
      <c r="AV422" s="521"/>
    </row>
    <row r="423" spans="1:48" ht="15.75">
      <c r="A423" s="82"/>
      <c r="B423" s="82"/>
      <c r="C423" s="82"/>
      <c r="D423" s="82"/>
      <c r="E423" s="82" t="str">
        <f t="shared" si="17"/>
        <v>1-in-20 Severe Weather Event</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SelectedInputs!AJ112</f>
        <v>Other</v>
      </c>
      <c r="AK423" s="353"/>
      <c r="AL423" s="353" t="str">
        <f>SelectedInputs!AL112</f>
        <v>RPEs Don't Apply</v>
      </c>
      <c r="AM423" s="353">
        <f>SelectedInputs!AM112</f>
        <v>2</v>
      </c>
      <c r="AN423" s="515"/>
      <c r="AO423" s="287">
        <f>SelectedInputs!AO112</f>
        <v>0</v>
      </c>
      <c r="AP423" s="287">
        <f>SelectedInputs!AP112</f>
        <v>0</v>
      </c>
      <c r="AQ423" s="287">
        <f>SelectedInputs!AQ112</f>
        <v>0</v>
      </c>
      <c r="AR423" s="287">
        <f>SelectedInputs!AR112</f>
        <v>1</v>
      </c>
      <c r="AS423" s="287">
        <f>SelectedInputs!AS112</f>
        <v>0</v>
      </c>
      <c r="AT423" s="287">
        <f>SelectedInputs!AT112</f>
        <v>0</v>
      </c>
      <c r="AU423" s="287">
        <f>SelectedInputs!AU112</f>
        <v>0</v>
      </c>
      <c r="AV423" s="521"/>
    </row>
    <row r="424" spans="1:48" ht="15.75">
      <c r="A424" s="82"/>
      <c r="B424" s="82"/>
      <c r="C424" s="82"/>
      <c r="D424" s="82"/>
      <c r="E424" s="82" t="str">
        <f t="shared" si="17"/>
        <v>Net to Gross Load Related Expenditure</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SelectedInputs!AJ113</f>
        <v>Other</v>
      </c>
      <c r="AK424" s="353"/>
      <c r="AL424" s="353" t="str">
        <f>SelectedInputs!AL113</f>
        <v>RPEs Don't Apply</v>
      </c>
      <c r="AM424" s="353">
        <f>SelectedInputs!AM113</f>
        <v>2</v>
      </c>
      <c r="AN424" s="515"/>
      <c r="AO424" s="287">
        <f>SelectedInputs!AO113</f>
        <v>1</v>
      </c>
      <c r="AP424" s="287">
        <f>SelectedInputs!AP113</f>
        <v>0</v>
      </c>
      <c r="AQ424" s="287">
        <f>SelectedInputs!AQ113</f>
        <v>0</v>
      </c>
      <c r="AR424" s="287">
        <f>SelectedInputs!AR113</f>
        <v>0</v>
      </c>
      <c r="AS424" s="287">
        <f>SelectedInputs!AS113</f>
        <v>0</v>
      </c>
      <c r="AT424" s="287">
        <f>SelectedInputs!AT113</f>
        <v>0</v>
      </c>
      <c r="AU424" s="287">
        <f>SelectedInputs!AU113</f>
        <v>0</v>
      </c>
      <c r="AV424" s="521"/>
    </row>
    <row r="425" spans="1:48" ht="15.75">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SelectedInputs!AJ114</f>
        <v>0</v>
      </c>
      <c r="AK425" s="353"/>
      <c r="AL425" s="353">
        <f>SelectedInputs!AL114</f>
        <v>0</v>
      </c>
      <c r="AM425" s="353">
        <f>SelectedInputs!AM114</f>
        <v>0</v>
      </c>
      <c r="AN425" s="515"/>
      <c r="AO425" s="287">
        <f>SelectedInputs!AO114</f>
        <v>0</v>
      </c>
      <c r="AP425" s="287">
        <f>SelectedInputs!AP114</f>
        <v>0</v>
      </c>
      <c r="AQ425" s="287">
        <f>SelectedInputs!AQ114</f>
        <v>0</v>
      </c>
      <c r="AR425" s="287">
        <f>SelectedInputs!AR114</f>
        <v>0</v>
      </c>
      <c r="AS425" s="287">
        <f>SelectedInputs!AS114</f>
        <v>0</v>
      </c>
      <c r="AT425" s="287">
        <f>SelectedInputs!AT114</f>
        <v>0</v>
      </c>
      <c r="AU425" s="287">
        <f>SelectedInputs!AU114</f>
        <v>0</v>
      </c>
      <c r="AV425" s="521"/>
    </row>
    <row r="426" spans="1:48" ht="15.75">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SelectedInputs!AJ115</f>
        <v>0</v>
      </c>
      <c r="AK426" s="353"/>
      <c r="AL426" s="353">
        <f>SelectedInputs!AL115</f>
        <v>0</v>
      </c>
      <c r="AM426" s="353">
        <f>SelectedInputs!AM115</f>
        <v>0</v>
      </c>
      <c r="AN426" s="515"/>
      <c r="AO426" s="287">
        <f>SelectedInputs!AO115</f>
        <v>0</v>
      </c>
      <c r="AP426" s="287">
        <f>SelectedInputs!AP115</f>
        <v>0</v>
      </c>
      <c r="AQ426" s="287">
        <f>SelectedInputs!AQ115</f>
        <v>0</v>
      </c>
      <c r="AR426" s="287">
        <f>SelectedInputs!AR115</f>
        <v>0</v>
      </c>
      <c r="AS426" s="287">
        <f>SelectedInputs!AS115</f>
        <v>0</v>
      </c>
      <c r="AT426" s="287">
        <f>SelectedInputs!AT115</f>
        <v>0</v>
      </c>
      <c r="AU426" s="287">
        <f>SelectedInputs!AU115</f>
        <v>0</v>
      </c>
      <c r="AV426" s="521"/>
    </row>
    <row r="427" spans="1:48" ht="15.75">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SelectedInputs!AJ116</f>
        <v>0</v>
      </c>
      <c r="AK427" s="353"/>
      <c r="AL427" s="353">
        <f>SelectedInputs!AL116</f>
        <v>0</v>
      </c>
      <c r="AM427" s="353">
        <f>SelectedInputs!AM116</f>
        <v>0</v>
      </c>
      <c r="AN427" s="515"/>
      <c r="AO427" s="287">
        <f>SelectedInputs!AO116</f>
        <v>0</v>
      </c>
      <c r="AP427" s="287">
        <f>SelectedInputs!AP116</f>
        <v>0</v>
      </c>
      <c r="AQ427" s="287">
        <f>SelectedInputs!AQ116</f>
        <v>0</v>
      </c>
      <c r="AR427" s="287">
        <f>SelectedInputs!AR116</f>
        <v>0</v>
      </c>
      <c r="AS427" s="287">
        <f>SelectedInputs!AS116</f>
        <v>0</v>
      </c>
      <c r="AT427" s="287">
        <f>SelectedInputs!AT116</f>
        <v>0</v>
      </c>
      <c r="AU427" s="287">
        <f>SelectedInputs!AU116</f>
        <v>0</v>
      </c>
      <c r="AV427" s="521"/>
    </row>
    <row r="428" spans="1:48" ht="15.75">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SelectedInputs!AJ117</f>
        <v>0</v>
      </c>
      <c r="AK428" s="353"/>
      <c r="AL428" s="353">
        <f>SelectedInputs!AL117</f>
        <v>0</v>
      </c>
      <c r="AM428" s="353">
        <f>SelectedInputs!AM117</f>
        <v>0</v>
      </c>
      <c r="AN428" s="515"/>
      <c r="AO428" s="287">
        <f>SelectedInputs!AO117</f>
        <v>0</v>
      </c>
      <c r="AP428" s="287">
        <f>SelectedInputs!AP117</f>
        <v>0</v>
      </c>
      <c r="AQ428" s="287">
        <f>SelectedInputs!AQ117</f>
        <v>0</v>
      </c>
      <c r="AR428" s="287">
        <f>SelectedInputs!AR117</f>
        <v>0</v>
      </c>
      <c r="AS428" s="287">
        <f>SelectedInputs!AS117</f>
        <v>0</v>
      </c>
      <c r="AT428" s="287">
        <f>SelectedInputs!AT117</f>
        <v>0</v>
      </c>
      <c r="AU428" s="287">
        <f>SelectedInputs!AU117</f>
        <v>0</v>
      </c>
      <c r="AV428" s="521"/>
    </row>
    <row r="429" spans="1:48" ht="15.75">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SelectedInputs!AJ118</f>
        <v>0</v>
      </c>
      <c r="AK429" s="353"/>
      <c r="AL429" s="353">
        <f>SelectedInputs!AL118</f>
        <v>0</v>
      </c>
      <c r="AM429" s="353">
        <f>SelectedInputs!AM118</f>
        <v>0</v>
      </c>
      <c r="AN429" s="515"/>
      <c r="AO429" s="287">
        <f>SelectedInputs!AO118</f>
        <v>0</v>
      </c>
      <c r="AP429" s="287">
        <f>SelectedInputs!AP118</f>
        <v>0</v>
      </c>
      <c r="AQ429" s="287">
        <f>SelectedInputs!AQ118</f>
        <v>0</v>
      </c>
      <c r="AR429" s="287">
        <f>SelectedInputs!AR118</f>
        <v>0</v>
      </c>
      <c r="AS429" s="287">
        <f>SelectedInputs!AS118</f>
        <v>0</v>
      </c>
      <c r="AT429" s="287">
        <f>SelectedInputs!AT118</f>
        <v>0</v>
      </c>
      <c r="AU429" s="287">
        <f>SelectedInputs!AU118</f>
        <v>0</v>
      </c>
      <c r="AV429" s="521"/>
    </row>
    <row r="430" spans="1:48" ht="15.75">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SelectedInputs!AJ119</f>
        <v>0</v>
      </c>
      <c r="AK430" s="353"/>
      <c r="AL430" s="353">
        <f>SelectedInputs!AL119</f>
        <v>0</v>
      </c>
      <c r="AM430" s="353">
        <f>SelectedInputs!AM119</f>
        <v>0</v>
      </c>
      <c r="AN430" s="515"/>
      <c r="AO430" s="287">
        <f>SelectedInputs!AO119</f>
        <v>0</v>
      </c>
      <c r="AP430" s="287">
        <f>SelectedInputs!AP119</f>
        <v>0</v>
      </c>
      <c r="AQ430" s="287">
        <f>SelectedInputs!AQ119</f>
        <v>0</v>
      </c>
      <c r="AR430" s="287">
        <f>SelectedInputs!AR119</f>
        <v>0</v>
      </c>
      <c r="AS430" s="287">
        <f>SelectedInputs!AS119</f>
        <v>0</v>
      </c>
      <c r="AT430" s="287">
        <f>SelectedInputs!AT119</f>
        <v>0</v>
      </c>
      <c r="AU430" s="287">
        <f>SelectedInputs!AU119</f>
        <v>0</v>
      </c>
      <c r="AV430" s="521"/>
    </row>
    <row r="431" spans="1:48" ht="15.75">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SelectedInputs!AJ120</f>
        <v>0</v>
      </c>
      <c r="AK431" s="353"/>
      <c r="AL431" s="353">
        <f>SelectedInputs!AL120</f>
        <v>0</v>
      </c>
      <c r="AM431" s="353">
        <f>SelectedInputs!AM120</f>
        <v>0</v>
      </c>
      <c r="AN431" s="515"/>
      <c r="AO431" s="287">
        <f>SelectedInputs!AO120</f>
        <v>0</v>
      </c>
      <c r="AP431" s="287">
        <f>SelectedInputs!AP120</f>
        <v>0</v>
      </c>
      <c r="AQ431" s="287">
        <f>SelectedInputs!AQ120</f>
        <v>0</v>
      </c>
      <c r="AR431" s="287">
        <f>SelectedInputs!AR120</f>
        <v>0</v>
      </c>
      <c r="AS431" s="287">
        <f>SelectedInputs!AS120</f>
        <v>0</v>
      </c>
      <c r="AT431" s="287">
        <f>SelectedInputs!AT120</f>
        <v>0</v>
      </c>
      <c r="AU431" s="287">
        <f>SelectedInputs!AU120</f>
        <v>0</v>
      </c>
      <c r="AV431" s="521"/>
    </row>
    <row r="432" spans="1:48" ht="15.75">
      <c r="A432" s="82"/>
      <c r="B432" s="82"/>
      <c r="C432" s="82"/>
      <c r="D432" s="82"/>
      <c r="E432" s="82">
        <f t="shared" si="17"/>
        <v>0</v>
      </c>
      <c r="F432" s="268"/>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f>SelectedInputs!AJ121</f>
        <v>0</v>
      </c>
      <c r="AK432" s="353"/>
      <c r="AL432" s="353">
        <f>SelectedInputs!AL121</f>
        <v>0</v>
      </c>
      <c r="AM432" s="353">
        <f>SelectedInputs!AM121</f>
        <v>0</v>
      </c>
      <c r="AN432" s="515"/>
      <c r="AO432" s="287">
        <f>SelectedInputs!AO121</f>
        <v>0</v>
      </c>
      <c r="AP432" s="287">
        <f>SelectedInputs!AP121</f>
        <v>0</v>
      </c>
      <c r="AQ432" s="287">
        <f>SelectedInputs!AQ121</f>
        <v>0</v>
      </c>
      <c r="AR432" s="287">
        <f>SelectedInputs!AR121</f>
        <v>0</v>
      </c>
      <c r="AS432" s="287">
        <f>SelectedInputs!AS121</f>
        <v>0</v>
      </c>
      <c r="AT432" s="287">
        <f>SelectedInputs!AT121</f>
        <v>0</v>
      </c>
      <c r="AU432" s="287">
        <f>SelectedInputs!AU121</f>
        <v>0</v>
      </c>
      <c r="AV432" s="521"/>
    </row>
    <row r="433" spans="1:48" ht="15.75">
      <c r="A433" s="82"/>
      <c r="B433" s="82"/>
      <c r="C433" s="82"/>
      <c r="D433" s="82"/>
      <c r="E433" s="82"/>
      <c r="F433" s="268"/>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516"/>
      <c r="AO433" s="82"/>
      <c r="AP433" s="82"/>
      <c r="AQ433" s="147"/>
      <c r="AR433" s="82"/>
      <c r="AS433" s="82"/>
      <c r="AT433" s="82"/>
      <c r="AU433" s="82"/>
      <c r="AV433" s="82"/>
    </row>
    <row r="434" spans="1:48" ht="15">
      <c r="A434" s="2"/>
      <c r="B434" s="2"/>
      <c r="C434" s="28" t="s">
        <v>649</v>
      </c>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9"/>
      <c r="AR434" s="28"/>
      <c r="AS434" s="28"/>
      <c r="AT434" s="28"/>
      <c r="AU434" s="28"/>
      <c r="AV434" s="28"/>
    </row>
    <row r="435" spans="1:48" ht="15">
      <c r="A435" s="2"/>
      <c r="B435" s="2"/>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89"/>
      <c r="AR435" s="194"/>
      <c r="AS435" s="194"/>
      <c r="AT435" s="194"/>
      <c r="AU435" s="194"/>
      <c r="AV435" s="194"/>
    </row>
    <row r="436" spans="1:48" ht="15">
      <c r="A436" s="7"/>
      <c r="B436" s="7"/>
      <c r="C436" s="7"/>
      <c r="D436" s="82"/>
      <c r="E436" s="271" t="s">
        <v>650</v>
      </c>
      <c r="F436" s="271"/>
      <c r="G436" s="271" t="s">
        <v>209</v>
      </c>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99"/>
      <c r="AR436" s="492">
        <f>SelectedInputs!AR296</f>
        <v>0.15407325635268362</v>
      </c>
      <c r="AS436" s="492">
        <f>SelectedInputs!AS296</f>
        <v>0.15407325635268362</v>
      </c>
      <c r="AT436" s="492">
        <f>SelectedInputs!AT296</f>
        <v>0.1540732563526836</v>
      </c>
      <c r="AU436" s="492">
        <f>SelectedInputs!AU296</f>
        <v>0.1540732563526836</v>
      </c>
      <c r="AV436" s="492">
        <f>SelectedInputs!AV296</f>
        <v>0.1540732563526836</v>
      </c>
    </row>
    <row r="437" spans="1:48" ht="15">
      <c r="A437" s="7"/>
      <c r="B437" s="7"/>
      <c r="C437" s="7"/>
      <c r="D437" s="82"/>
      <c r="E437" s="27" t="s">
        <v>651</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0.1540732563526836</v>
      </c>
      <c r="AS437" s="132">
        <f>SelectedInputs!AS297</f>
        <v>0.1540732563526836</v>
      </c>
      <c r="AT437" s="132">
        <f>SelectedInputs!AT297</f>
        <v>0.15407325635268362</v>
      </c>
      <c r="AU437" s="132">
        <f>SelectedInputs!AU297</f>
        <v>0.1540732563526836</v>
      </c>
      <c r="AV437" s="132">
        <f>SelectedInputs!AV297</f>
        <v>0.1540732563526836</v>
      </c>
    </row>
    <row r="438" spans="1:48" ht="15">
      <c r="A438" s="7"/>
      <c r="B438" s="7"/>
      <c r="C438" s="7"/>
      <c r="D438" s="82"/>
      <c r="E438" s="27" t="s">
        <v>652</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0.15353388163275092</v>
      </c>
      <c r="AS438" s="132">
        <f>SelectedInputs!AS298</f>
        <v>0.15407325635268362</v>
      </c>
      <c r="AT438" s="132">
        <f>SelectedInputs!AT298</f>
        <v>0.1540732563526836</v>
      </c>
      <c r="AU438" s="132">
        <f>SelectedInputs!AU298</f>
        <v>0.1540732563526836</v>
      </c>
      <c r="AV438" s="132">
        <f>SelectedInputs!AV298</f>
        <v>0.1540732563526836</v>
      </c>
    </row>
    <row r="439" spans="1:48" ht="15">
      <c r="A439" s="7"/>
      <c r="B439" s="7"/>
      <c r="C439" s="7"/>
      <c r="D439" s="82"/>
      <c r="E439" s="27" t="s">
        <v>653</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8.9362488684556485E-2</v>
      </c>
      <c r="AS439" s="132">
        <f>SelectedInputs!AS299</f>
        <v>8.9362488684556485E-2</v>
      </c>
      <c r="AT439" s="132">
        <f>SelectedInputs!AT299</f>
        <v>8.9362488684556485E-2</v>
      </c>
      <c r="AU439" s="132">
        <f>SelectedInputs!AU299</f>
        <v>8.9362488684556471E-2</v>
      </c>
      <c r="AV439" s="132">
        <f>SelectedInputs!AV299</f>
        <v>8.9362488684556471E-2</v>
      </c>
    </row>
    <row r="440" spans="1:48" ht="15">
      <c r="A440" s="7"/>
      <c r="B440" s="7"/>
      <c r="C440" s="7"/>
      <c r="D440" s="82"/>
      <c r="E440" s="27" t="s">
        <v>654</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 t="s">
        <v>655</v>
      </c>
      <c r="F441" s="27"/>
      <c r="G441" s="27" t="s">
        <v>209</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192"/>
      <c r="AR441" s="132">
        <f>SelectedInputs!AR301</f>
        <v>2.7595696760607719E-3</v>
      </c>
      <c r="AS441" s="132">
        <f>SelectedInputs!AS301</f>
        <v>0</v>
      </c>
      <c r="AT441" s="132">
        <f>SelectedInputs!AT301</f>
        <v>0</v>
      </c>
      <c r="AU441" s="132">
        <f>SelectedInputs!AU301</f>
        <v>0</v>
      </c>
      <c r="AV441" s="132">
        <f>SelectedInputs!AV301</f>
        <v>0</v>
      </c>
    </row>
    <row r="442" spans="1:48" ht="15">
      <c r="A442" s="7"/>
      <c r="B442" s="7"/>
      <c r="C442" s="7"/>
      <c r="D442" s="82"/>
      <c r="E442" s="272" t="s">
        <v>656</v>
      </c>
      <c r="F442" s="272"/>
      <c r="G442" s="272" t="s">
        <v>209</v>
      </c>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300"/>
      <c r="AR442" s="493">
        <f>SelectedInputs!AR302</f>
        <v>4.3144988519699522E-2</v>
      </c>
      <c r="AS442" s="493">
        <f>SelectedInputs!AS302</f>
        <v>4.3147279196409254E-2</v>
      </c>
      <c r="AT442" s="493">
        <f>SelectedInputs!AT302</f>
        <v>4.3150758425528131E-2</v>
      </c>
      <c r="AU442" s="493">
        <f>SelectedInputs!AU302</f>
        <v>4.3153694945511904E-2</v>
      </c>
      <c r="AV442" s="493">
        <f>SelectedInputs!AV302</f>
        <v>4.3157738460240777E-2</v>
      </c>
    </row>
    <row r="443" spans="1:48" ht="15">
      <c r="A443" s="7"/>
      <c r="B443" s="7"/>
      <c r="C443" s="7"/>
      <c r="D443" s="82"/>
      <c r="E443" s="27" t="s">
        <v>657</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0.39439758482229198</v>
      </c>
      <c r="AS443" s="132">
        <f>SelectedInputs!AS303</f>
        <v>0.39439758482229198</v>
      </c>
      <c r="AT443" s="132">
        <f>SelectedInputs!AT303</f>
        <v>0.39439758482229187</v>
      </c>
      <c r="AU443" s="132">
        <f>SelectedInputs!AU303</f>
        <v>0.39439758482229198</v>
      </c>
      <c r="AV443" s="132">
        <f>SelectedInputs!AV303</f>
        <v>0.39439758482229192</v>
      </c>
    </row>
    <row r="444" spans="1:48" ht="15">
      <c r="A444" s="7"/>
      <c r="B444" s="7"/>
      <c r="C444" s="7"/>
      <c r="D444" s="82"/>
      <c r="E444" s="27" t="s">
        <v>658</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0.39439758482229192</v>
      </c>
      <c r="AS444" s="132">
        <f>SelectedInputs!AS304</f>
        <v>0.39439758482229198</v>
      </c>
      <c r="AT444" s="132">
        <f>SelectedInputs!AT304</f>
        <v>0.39439758482229192</v>
      </c>
      <c r="AU444" s="132">
        <f>SelectedInputs!AU304</f>
        <v>0.39439758482229192</v>
      </c>
      <c r="AV444" s="132">
        <f>SelectedInputs!AV304</f>
        <v>0.39439758482229192</v>
      </c>
    </row>
    <row r="445" spans="1:48" ht="15">
      <c r="A445" s="7"/>
      <c r="B445" s="7"/>
      <c r="C445" s="7"/>
      <c r="D445" s="82"/>
      <c r="E445" s="27" t="s">
        <v>659</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0.39301689039230797</v>
      </c>
      <c r="AS445" s="132">
        <f>SelectedInputs!AS305</f>
        <v>0.39439758482229192</v>
      </c>
      <c r="AT445" s="132">
        <f>SelectedInputs!AT305</f>
        <v>0.39439758482229198</v>
      </c>
      <c r="AU445" s="132">
        <f>SelectedInputs!AU305</f>
        <v>0.39439758482229192</v>
      </c>
      <c r="AV445" s="132">
        <f>SelectedInputs!AV305</f>
        <v>0.39439758482229192</v>
      </c>
    </row>
    <row r="446" spans="1:48" ht="15">
      <c r="A446" s="7"/>
      <c r="B446" s="7"/>
      <c r="C446" s="7"/>
      <c r="D446" s="82"/>
      <c r="E446" s="27" t="s">
        <v>660</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0.22875059919692933</v>
      </c>
      <c r="AS446" s="132">
        <f>SelectedInputs!AS306</f>
        <v>0.22875059919692928</v>
      </c>
      <c r="AT446" s="132">
        <f>SelectedInputs!AT306</f>
        <v>0.22875059919692928</v>
      </c>
      <c r="AU446" s="132">
        <f>SelectedInputs!AU306</f>
        <v>0.22875059919692928</v>
      </c>
      <c r="AV446" s="132">
        <f>SelectedInputs!AV306</f>
        <v>0.22875059919692931</v>
      </c>
    </row>
    <row r="447" spans="1:48" ht="15">
      <c r="A447" s="7"/>
      <c r="B447" s="7"/>
      <c r="C447" s="7"/>
      <c r="D447" s="82"/>
      <c r="E447" s="27" t="s">
        <v>661</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662</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7.0639619175430395E-3</v>
      </c>
      <c r="AS448" s="132">
        <f>SelectedInputs!AS308</f>
        <v>0</v>
      </c>
      <c r="AT448" s="132">
        <f>SelectedInputs!AT308</f>
        <v>0</v>
      </c>
      <c r="AU448" s="132">
        <f>SelectedInputs!AU308</f>
        <v>0</v>
      </c>
      <c r="AV448" s="132">
        <f>SelectedInputs!AV308</f>
        <v>0</v>
      </c>
    </row>
    <row r="449" spans="1:48" ht="15">
      <c r="A449" s="7"/>
      <c r="B449" s="7"/>
      <c r="C449" s="7"/>
      <c r="D449" s="82"/>
      <c r="E449" s="27" t="s">
        <v>663</v>
      </c>
      <c r="F449" s="27"/>
      <c r="G449" s="27" t="s">
        <v>209</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192"/>
      <c r="AR449" s="132">
        <f>SelectedInputs!AR309</f>
        <v>0.11044278333680212</v>
      </c>
      <c r="AS449" s="132">
        <f>SelectedInputs!AS309</f>
        <v>0.11044864702387741</v>
      </c>
      <c r="AT449" s="132">
        <f>SelectedInputs!AT309</f>
        <v>0.11045755317406869</v>
      </c>
      <c r="AU449" s="132">
        <f>SelectedInputs!AU309</f>
        <v>0.11046507009437528</v>
      </c>
      <c r="AV449" s="132">
        <f>SelectedInputs!AV309</f>
        <v>0.11047542070603242</v>
      </c>
    </row>
    <row r="450" spans="1:48" ht="15">
      <c r="A450" s="7"/>
      <c r="B450" s="7"/>
      <c r="C450" s="7"/>
      <c r="D450" s="82"/>
      <c r="E450" s="271" t="s">
        <v>664</v>
      </c>
      <c r="F450" s="271"/>
      <c r="G450" s="271" t="s">
        <v>209</v>
      </c>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c r="AN450" s="271"/>
      <c r="AO450" s="271"/>
      <c r="AP450" s="271"/>
      <c r="AQ450" s="299"/>
      <c r="AR450" s="492">
        <f>SelectedInputs!AR310</f>
        <v>0.39973889445946187</v>
      </c>
      <c r="AS450" s="492">
        <f>SelectedInputs!AS310</f>
        <v>0.39973889445946198</v>
      </c>
      <c r="AT450" s="492">
        <f>SelectedInputs!AT310</f>
        <v>0.39973889445946187</v>
      </c>
      <c r="AU450" s="492">
        <f>SelectedInputs!AU310</f>
        <v>0.39973889445946187</v>
      </c>
      <c r="AV450" s="492">
        <f>SelectedInputs!AV310</f>
        <v>0.39973889445946192</v>
      </c>
    </row>
    <row r="451" spans="1:48" ht="15">
      <c r="A451" s="7"/>
      <c r="B451" s="7"/>
      <c r="C451" s="7"/>
      <c r="D451" s="82"/>
      <c r="E451" s="27" t="s">
        <v>665</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0.39973889445946181</v>
      </c>
      <c r="AS451" s="132">
        <f>SelectedInputs!AS311</f>
        <v>0.39973889445946187</v>
      </c>
      <c r="AT451" s="132">
        <f>SelectedInputs!AT311</f>
        <v>0.39973889445946192</v>
      </c>
      <c r="AU451" s="132">
        <f>SelectedInputs!AU311</f>
        <v>0.39973889445946187</v>
      </c>
      <c r="AV451" s="132">
        <f>SelectedInputs!AV311</f>
        <v>0.39973889445946181</v>
      </c>
    </row>
    <row r="452" spans="1:48" ht="15">
      <c r="A452" s="7"/>
      <c r="B452" s="7"/>
      <c r="C452" s="7"/>
      <c r="D452" s="82"/>
      <c r="E452" s="27" t="s">
        <v>666</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0.39833950134381485</v>
      </c>
      <c r="AS452" s="132">
        <f>SelectedInputs!AS312</f>
        <v>0.39973889445946192</v>
      </c>
      <c r="AT452" s="132">
        <f>SelectedInputs!AT312</f>
        <v>0.39973889445946192</v>
      </c>
      <c r="AU452" s="132">
        <f>SelectedInputs!AU312</f>
        <v>0.39973889445946181</v>
      </c>
      <c r="AV452" s="132">
        <f>SelectedInputs!AV312</f>
        <v>0.39973889445946187</v>
      </c>
    </row>
    <row r="453" spans="1:48" ht="15">
      <c r="A453" s="7"/>
      <c r="B453" s="7"/>
      <c r="C453" s="7"/>
      <c r="D453" s="82"/>
      <c r="E453" s="27" t="s">
        <v>667</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0.23184855878648788</v>
      </c>
      <c r="AS453" s="132">
        <f>SelectedInputs!AS313</f>
        <v>0.23184855878648783</v>
      </c>
      <c r="AT453" s="132">
        <f>SelectedInputs!AT313</f>
        <v>0.23184855878648783</v>
      </c>
      <c r="AU453" s="132">
        <f>SelectedInputs!AU313</f>
        <v>0.23184855878648783</v>
      </c>
      <c r="AV453" s="132">
        <f>SelectedInputs!AV313</f>
        <v>0.23184855878648783</v>
      </c>
    </row>
    <row r="454" spans="1:48" ht="15">
      <c r="A454" s="7"/>
      <c r="B454" s="7"/>
      <c r="C454" s="7"/>
      <c r="D454" s="82"/>
      <c r="E454" s="27" t="s">
        <v>668</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 t="s">
        <v>669</v>
      </c>
      <c r="F455" s="27"/>
      <c r="G455" s="27" t="s">
        <v>209</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192"/>
      <c r="AR455" s="132">
        <f>SelectedInputs!AR315</f>
        <v>7.1596288519229102E-3</v>
      </c>
      <c r="AS455" s="132">
        <f>SelectedInputs!AS315</f>
        <v>0</v>
      </c>
      <c r="AT455" s="132">
        <f>SelectedInputs!AT315</f>
        <v>0</v>
      </c>
      <c r="AU455" s="132">
        <f>SelectedInputs!AU315</f>
        <v>0</v>
      </c>
      <c r="AV455" s="132">
        <f>SelectedInputs!AV315</f>
        <v>0</v>
      </c>
    </row>
    <row r="456" spans="1:48" ht="15">
      <c r="A456" s="7"/>
      <c r="B456" s="7"/>
      <c r="C456" s="7"/>
      <c r="D456" s="82"/>
      <c r="E456" s="272" t="s">
        <v>670</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3">
        <f>SelectedInputs!AR316</f>
        <v>0.11193850523190076</v>
      </c>
      <c r="AS456" s="493">
        <f>SelectedInputs!AS316</f>
        <v>0.11194444833063956</v>
      </c>
      <c r="AT456" s="493">
        <f>SelectedInputs!AT316</f>
        <v>0.11195347509644227</v>
      </c>
      <c r="AU456" s="493">
        <f>SelectedInputs!AU316</f>
        <v>0.11196109381807934</v>
      </c>
      <c r="AV456" s="493">
        <f>SelectedInputs!AV316</f>
        <v>0.11197158460762781</v>
      </c>
    </row>
    <row r="457" spans="1:48" ht="15">
      <c r="A457" s="7"/>
      <c r="B457" s="7"/>
      <c r="C457" s="7"/>
      <c r="D457" s="82"/>
      <c r="E457" s="271" t="s">
        <v>671</v>
      </c>
      <c r="F457" s="271"/>
      <c r="G457" s="271" t="s">
        <v>209</v>
      </c>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c r="AN457" s="271"/>
      <c r="AO457" s="271"/>
      <c r="AP457" s="271"/>
      <c r="AQ457" s="299"/>
      <c r="AR457" s="492">
        <f>SelectedInputs!AR317</f>
        <v>3.1705596201959105E-2</v>
      </c>
      <c r="AS457" s="492">
        <f>SelectedInputs!AS317</f>
        <v>3.1705596201959105E-2</v>
      </c>
      <c r="AT457" s="492">
        <f>SelectedInputs!AT317</f>
        <v>3.1705596201959091E-2</v>
      </c>
      <c r="AU457" s="492">
        <f>SelectedInputs!AU317</f>
        <v>3.1705596201959098E-2</v>
      </c>
      <c r="AV457" s="492">
        <f>SelectedInputs!AV317</f>
        <v>3.1705596201959105E-2</v>
      </c>
    </row>
    <row r="458" spans="1:48" ht="15">
      <c r="A458" s="7"/>
      <c r="B458" s="7"/>
      <c r="C458" s="7"/>
      <c r="D458" s="82"/>
      <c r="E458" s="27" t="s">
        <v>672</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3.1705596201959098E-2</v>
      </c>
      <c r="AS458" s="132">
        <f>SelectedInputs!AS318</f>
        <v>3.1705596201959098E-2</v>
      </c>
      <c r="AT458" s="132">
        <f>SelectedInputs!AT318</f>
        <v>3.1705596201959098E-2</v>
      </c>
      <c r="AU458" s="132">
        <f>SelectedInputs!AU318</f>
        <v>3.1705596201959098E-2</v>
      </c>
      <c r="AV458" s="132">
        <f>SelectedInputs!AV318</f>
        <v>3.1705596201959098E-2</v>
      </c>
    </row>
    <row r="459" spans="1:48" ht="15">
      <c r="A459" s="7"/>
      <c r="B459" s="7"/>
      <c r="C459" s="7"/>
      <c r="D459" s="82"/>
      <c r="E459" s="27" t="s">
        <v>673</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3.1594602266499044E-2</v>
      </c>
      <c r="AS459" s="132">
        <f>SelectedInputs!AS319</f>
        <v>3.1705596201959098E-2</v>
      </c>
      <c r="AT459" s="132">
        <f>SelectedInputs!AT319</f>
        <v>3.1705596201959105E-2</v>
      </c>
      <c r="AU459" s="132">
        <f>SelectedInputs!AU319</f>
        <v>3.1705596201959098E-2</v>
      </c>
      <c r="AV459" s="132">
        <f>SelectedInputs!AV319</f>
        <v>3.1705596201959098E-2</v>
      </c>
    </row>
    <row r="460" spans="1:48" ht="15">
      <c r="A460" s="7"/>
      <c r="B460" s="7"/>
      <c r="C460" s="7"/>
      <c r="D460" s="82"/>
      <c r="E460" s="27" t="s">
        <v>674</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1.8389245797136276E-2</v>
      </c>
      <c r="AS460" s="132">
        <f>SelectedInputs!AS320</f>
        <v>1.8389245797136276E-2</v>
      </c>
      <c r="AT460" s="132">
        <f>SelectedInputs!AT320</f>
        <v>1.8389245797136276E-2</v>
      </c>
      <c r="AU460" s="132">
        <f>SelectedInputs!AU320</f>
        <v>1.8389245797136272E-2</v>
      </c>
      <c r="AV460" s="132">
        <f>SelectedInputs!AV320</f>
        <v>1.8389245797136276E-2</v>
      </c>
    </row>
    <row r="461" spans="1:48" ht="15">
      <c r="A461" s="7"/>
      <c r="B461" s="7"/>
      <c r="C461" s="7"/>
      <c r="D461" s="82"/>
      <c r="E461" s="27" t="s">
        <v>675</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 t="s">
        <v>676</v>
      </c>
      <c r="F462" s="27"/>
      <c r="G462" s="27" t="s">
        <v>209</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192"/>
      <c r="AR462" s="132">
        <f>SelectedInputs!AR322</f>
        <v>5.6787143928518631E-4</v>
      </c>
      <c r="AS462" s="132">
        <f>SelectedInputs!AS322</f>
        <v>0</v>
      </c>
      <c r="AT462" s="132">
        <f>SelectedInputs!AT322</f>
        <v>0</v>
      </c>
      <c r="AU462" s="132">
        <f>SelectedInputs!AU322</f>
        <v>0</v>
      </c>
      <c r="AV462" s="132">
        <f>SelectedInputs!AV322</f>
        <v>0</v>
      </c>
    </row>
    <row r="463" spans="1:48" ht="15">
      <c r="A463" s="7"/>
      <c r="B463" s="7"/>
      <c r="C463" s="7"/>
      <c r="D463" s="82"/>
      <c r="E463" s="272" t="s">
        <v>677</v>
      </c>
      <c r="F463" s="272"/>
      <c r="G463" s="272" t="s">
        <v>209</v>
      </c>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300"/>
      <c r="AR463" s="493">
        <f>SelectedInputs!AR323</f>
        <v>8.8784881719670868E-3</v>
      </c>
      <c r="AS463" s="493">
        <f>SelectedInputs!AS323</f>
        <v>8.8789595533898414E-3</v>
      </c>
      <c r="AT463" s="493">
        <f>SelectedInputs!AT323</f>
        <v>8.8796755182246785E-3</v>
      </c>
      <c r="AU463" s="493">
        <f>SelectedInputs!AU323</f>
        <v>8.8802798029594086E-3</v>
      </c>
      <c r="AV463" s="493">
        <f>SelectedInputs!AV323</f>
        <v>8.8811118879575796E-3</v>
      </c>
    </row>
    <row r="464" spans="1:48" ht="15">
      <c r="A464" s="7"/>
      <c r="B464" s="7"/>
      <c r="C464" s="7"/>
      <c r="D464" s="82"/>
      <c r="E464" s="27" t="s">
        <v>678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679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680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3.5007679638963209E-3</v>
      </c>
      <c r="AS466" s="132">
        <f>SelectedInputs!AS326</f>
        <v>0</v>
      </c>
      <c r="AT466" s="132">
        <f>SelectedInputs!AT326</f>
        <v>0</v>
      </c>
      <c r="AU466" s="132">
        <f>SelectedInputs!AU326</f>
        <v>0</v>
      </c>
      <c r="AV466" s="132">
        <f>SelectedInputs!AV326</f>
        <v>0</v>
      </c>
    </row>
    <row r="467" spans="1:48" ht="15">
      <c r="A467" s="7"/>
      <c r="B467" s="7"/>
      <c r="C467" s="7"/>
      <c r="D467" s="82"/>
      <c r="E467" s="27" t="s">
        <v>681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0.42000000000000004</v>
      </c>
      <c r="AS467" s="132">
        <f>SelectedInputs!AS327</f>
        <v>0.42000000000000004</v>
      </c>
      <c r="AT467" s="132">
        <f>SelectedInputs!AT327</f>
        <v>0.42</v>
      </c>
      <c r="AU467" s="132">
        <f>SelectedInputs!AU327</f>
        <v>0.42000000000000004</v>
      </c>
      <c r="AV467" s="132">
        <f>SelectedInputs!AV327</f>
        <v>0.42000000000000004</v>
      </c>
    </row>
    <row r="468" spans="1:48" ht="15">
      <c r="A468" s="7"/>
      <c r="B468" s="7"/>
      <c r="C468" s="7"/>
      <c r="D468" s="82"/>
      <c r="E468" s="27" t="s">
        <v>682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683</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0.98208923637114576</v>
      </c>
      <c r="AS469" s="132">
        <f>SelectedInputs!AS329</f>
        <v>1</v>
      </c>
      <c r="AT469" s="132">
        <f>SelectedInputs!AT329</f>
        <v>1</v>
      </c>
      <c r="AU469" s="132">
        <f>SelectedInputs!AU329</f>
        <v>1</v>
      </c>
      <c r="AV469" s="132">
        <f>SelectedInputs!AV329</f>
        <v>1</v>
      </c>
    </row>
    <row r="470" spans="1:48" ht="15">
      <c r="A470" s="7"/>
      <c r="B470" s="7"/>
      <c r="C470" s="7"/>
      <c r="D470" s="82"/>
      <c r="E470" s="27" t="s">
        <v>684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2"/>
      <c r="AR470" s="132">
        <f>SelectedInputs!AR330</f>
        <v>0.719970944075214</v>
      </c>
      <c r="AS470" s="132">
        <f>SelectedInputs!AS330</f>
        <v>0.71995607662343197</v>
      </c>
      <c r="AT470" s="132">
        <f>SelectedInputs!AT330</f>
        <v>0.71993349496843717</v>
      </c>
      <c r="AU470" s="132">
        <f>SelectedInputs!AU330</f>
        <v>0.71991443572315805</v>
      </c>
      <c r="AV470" s="132">
        <f>SelectedInputs!AV330</f>
        <v>0.71988819161808371</v>
      </c>
    </row>
    <row r="471" spans="1:48" ht="15">
      <c r="A471" s="7"/>
      <c r="B471" s="7"/>
      <c r="C471" s="7"/>
      <c r="D471" s="82"/>
      <c r="E471" s="271" t="s">
        <v>685</v>
      </c>
      <c r="F471" s="271"/>
      <c r="G471" s="271" t="s">
        <v>209</v>
      </c>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c r="AN471" s="271"/>
      <c r="AO471" s="271"/>
      <c r="AP471" s="271"/>
      <c r="AQ471" s="299"/>
      <c r="AR471" s="492">
        <f>SelectedInputs!AR331</f>
        <v>2.0084668163603485E-2</v>
      </c>
      <c r="AS471" s="492">
        <f>SelectedInputs!AS331</f>
        <v>2.0084668163603488E-2</v>
      </c>
      <c r="AT471" s="492">
        <f>SelectedInputs!AT331</f>
        <v>2.0084668163603478E-2</v>
      </c>
      <c r="AU471" s="492">
        <f>SelectedInputs!AU331</f>
        <v>2.0084668163603481E-2</v>
      </c>
      <c r="AV471" s="492">
        <f>SelectedInputs!AV331</f>
        <v>2.0084668163603485E-2</v>
      </c>
    </row>
    <row r="472" spans="1:48" ht="15">
      <c r="A472" s="7"/>
      <c r="B472" s="7"/>
      <c r="C472" s="7"/>
      <c r="D472" s="82"/>
      <c r="E472" s="27" t="s">
        <v>686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2.0084668163603481E-2</v>
      </c>
      <c r="AS472" s="132">
        <f>SelectedInputs!AS332</f>
        <v>2.0084668163603481E-2</v>
      </c>
      <c r="AT472" s="132">
        <f>SelectedInputs!AT332</f>
        <v>2.0084668163603481E-2</v>
      </c>
      <c r="AU472" s="132">
        <f>SelectedInputs!AU332</f>
        <v>2.0084668163603481E-2</v>
      </c>
      <c r="AV472" s="132">
        <f>SelectedInputs!AV332</f>
        <v>2.0084668163603478E-2</v>
      </c>
    </row>
    <row r="473" spans="1:48" ht="15">
      <c r="A473" s="7"/>
      <c r="B473" s="7"/>
      <c r="C473" s="7"/>
      <c r="D473" s="82"/>
      <c r="E473" s="27" t="s">
        <v>687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2.0014356400730848E-2</v>
      </c>
      <c r="AS473" s="132">
        <f>SelectedInputs!AS333</f>
        <v>2.0084668163603485E-2</v>
      </c>
      <c r="AT473" s="132">
        <f>SelectedInputs!AT333</f>
        <v>2.0084668163603485E-2</v>
      </c>
      <c r="AU473" s="132">
        <f>SelectedInputs!AU333</f>
        <v>2.0084668163603481E-2</v>
      </c>
      <c r="AV473" s="132">
        <f>SelectedInputs!AV333</f>
        <v>2.0084668163603481E-2</v>
      </c>
    </row>
    <row r="474" spans="1:48" ht="15">
      <c r="A474" s="7"/>
      <c r="B474" s="7"/>
      <c r="C474" s="7"/>
      <c r="D474" s="82"/>
      <c r="E474" s="27" t="s">
        <v>688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1.1649107534890018E-2</v>
      </c>
      <c r="AS474" s="132">
        <f>SelectedInputs!AS334</f>
        <v>1.1649107534890017E-2</v>
      </c>
      <c r="AT474" s="132">
        <f>SelectedInputs!AT334</f>
        <v>1.1649107534890018E-2</v>
      </c>
      <c r="AU474" s="132">
        <f>SelectedInputs!AU334</f>
        <v>1.1649107534890017E-2</v>
      </c>
      <c r="AV474" s="132">
        <f>SelectedInputs!AV334</f>
        <v>1.1649107534890018E-2</v>
      </c>
    </row>
    <row r="475" spans="1:48" ht="15">
      <c r="A475" s="7"/>
      <c r="B475" s="7"/>
      <c r="C475" s="7"/>
      <c r="D475" s="82"/>
      <c r="E475" s="27" t="s">
        <v>689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 t="s">
        <v>690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2"/>
      <c r="AR476" s="132">
        <f>SelectedInputs!AR336</f>
        <v>3.597317440422748E-4</v>
      </c>
      <c r="AS476" s="132">
        <f>SelectedInputs!AS336</f>
        <v>0</v>
      </c>
      <c r="AT476" s="132">
        <f>SelectedInputs!AT336</f>
        <v>0</v>
      </c>
      <c r="AU476" s="132">
        <f>SelectedInputs!AU336</f>
        <v>0</v>
      </c>
      <c r="AV476" s="132">
        <f>SelectedInputs!AV336</f>
        <v>0</v>
      </c>
    </row>
    <row r="477" spans="1:48" ht="15">
      <c r="A477" s="7"/>
      <c r="B477" s="7"/>
      <c r="C477" s="7"/>
      <c r="D477" s="82"/>
      <c r="E477" s="272" t="s">
        <v>691</v>
      </c>
      <c r="F477" s="272"/>
      <c r="G477" s="272" t="s">
        <v>209</v>
      </c>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300"/>
      <c r="AR477" s="493">
        <f>SelectedInputs!AR337</f>
        <v>5.6242906644164876E-3</v>
      </c>
      <c r="AS477" s="493">
        <f>SelectedInputs!AS337</f>
        <v>5.6245892722519694E-3</v>
      </c>
      <c r="AT477" s="493">
        <f>SelectedInputs!AT337</f>
        <v>5.6250428172991253E-3</v>
      </c>
      <c r="AU477" s="493">
        <f>SelectedInputs!AU337</f>
        <v>5.6254256159160038E-3</v>
      </c>
      <c r="AV477" s="493">
        <f>SelectedInputs!AV337</f>
        <v>5.6259527200576724E-3</v>
      </c>
    </row>
    <row r="478" spans="1:48" ht="15">
      <c r="A478" s="7"/>
      <c r="B478" s="7"/>
      <c r="C478" s="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99"/>
      <c r="AR478" s="7"/>
      <c r="AS478" s="7"/>
      <c r="AT478" s="7"/>
      <c r="AU478" s="7"/>
      <c r="AV478" s="7"/>
    </row>
    <row r="479" spans="1:48" ht="15">
      <c r="B479" s="37" t="s">
        <v>79</v>
      </c>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8"/>
      <c r="AR479" s="37"/>
      <c r="AS479" s="37"/>
      <c r="AT479" s="37"/>
      <c r="AU479" s="37"/>
      <c r="AV479" s="3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pans="1:48" ht="15">
      <c r="A481" s="7"/>
      <c r="B481" s="7"/>
      <c r="C481" s="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7"/>
      <c r="AS481" s="7"/>
      <c r="AT481" s="7"/>
      <c r="AU481" s="7"/>
      <c r="AV481" s="7"/>
    </row>
  </sheetData>
  <conditionalFormatting sqref="K275:AP275 AR275:BA275">
    <cfRule type="cellIs" dxfId="419" priority="15" operator="equal">
      <formula>FALSE()</formula>
    </cfRule>
  </conditionalFormatting>
  <conditionalFormatting sqref="K16:AV18 K101:BA114 K278:AP279 AR278:BA279">
    <cfRule type="cellIs" dxfId="418" priority="24" operator="equal">
      <formula>FALSE()</formula>
    </cfRule>
  </conditionalFormatting>
  <conditionalFormatting sqref="AM3">
    <cfRule type="expression" dxfId="417" priority="22">
      <formula>$AM$3="OK"</formula>
    </cfRule>
  </conditionalFormatting>
  <conditionalFormatting sqref="AW246:BA259">
    <cfRule type="cellIs" dxfId="416"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43</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5">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692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693</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694</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1.3966351746111914</v>
      </c>
      <c r="AW12" s="184"/>
      <c r="AX12" s="184"/>
      <c r="AY12" s="184"/>
      <c r="AZ12" s="184"/>
      <c r="BA12" s="184"/>
      <c r="BB12" s="82"/>
    </row>
    <row r="13" spans="1:54" ht="16.5">
      <c r="A13" s="82"/>
      <c r="B13" s="82"/>
      <c r="C13" s="82"/>
      <c r="D13" s="82"/>
      <c r="E13" s="2" t="s">
        <v>695</v>
      </c>
      <c r="F13" s="82"/>
      <c r="G13" s="2" t="s">
        <v>315</v>
      </c>
      <c r="H13" s="402" t="s">
        <v>696</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1.5499137182126492</v>
      </c>
      <c r="AS13" s="121">
        <f t="shared" si="0"/>
        <v>1.5971457273330341</v>
      </c>
      <c r="AT13" s="121">
        <f t="shared" si="0"/>
        <v>1.6244597146872219</v>
      </c>
      <c r="AU13" s="121">
        <f t="shared" si="0"/>
        <v>1.6495114523347425</v>
      </c>
      <c r="AV13" s="121">
        <f t="shared" si="0"/>
        <v>1.6791397317453445</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697</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4.1450170800000005E-2</v>
      </c>
      <c r="AU15" s="212">
        <f>InputSummary!AU182</f>
        <v>4.15681044E-2</v>
      </c>
      <c r="AV15" s="212">
        <f>InputSummary!AV182</f>
        <v>4.1755693600000005E-2</v>
      </c>
      <c r="AW15" s="184"/>
      <c r="AX15" s="184"/>
      <c r="AY15" s="184"/>
      <c r="AZ15" s="184"/>
      <c r="BA15" s="184"/>
      <c r="BB15" s="82"/>
    </row>
    <row r="16" spans="1:54" ht="16.5">
      <c r="A16" s="82"/>
      <c r="B16" s="82"/>
      <c r="C16" s="82"/>
      <c r="D16" s="82"/>
      <c r="E16" s="424" t="s">
        <v>698</v>
      </c>
      <c r="F16" s="82"/>
      <c r="G16" s="2" t="s">
        <v>315</v>
      </c>
      <c r="H16" s="82" t="s">
        <v>699</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700</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701</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SelectedInputs!AR342</f>
        <v>-3.0346275290212947</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702</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-0.60692550580425897</v>
      </c>
      <c r="AS22" s="13">
        <f>$AR20/5</f>
        <v>-0.60692550580425897</v>
      </c>
      <c r="AT22" s="13">
        <f>$AR20/5</f>
        <v>-0.60692550580425897</v>
      </c>
      <c r="AU22" s="13">
        <f>$AR20/5</f>
        <v>-0.60692550580425897</v>
      </c>
      <c r="AV22" s="13">
        <f>$AR20/5</f>
        <v>-0.60692550580425897</v>
      </c>
      <c r="AW22" s="184"/>
      <c r="AX22" s="184"/>
      <c r="AY22" s="184"/>
      <c r="AZ22" s="184"/>
      <c r="BA22" s="184"/>
      <c r="BB22" s="82"/>
    </row>
    <row r="23" spans="1:54" ht="15">
      <c r="A23" s="82"/>
      <c r="B23" s="82"/>
      <c r="C23" s="82"/>
      <c r="D23" s="82"/>
      <c r="E23" s="2" t="s">
        <v>703</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4.1450170800000005E-2</v>
      </c>
      <c r="AU23" s="212">
        <f>AU15</f>
        <v>4.15681044E-2</v>
      </c>
      <c r="AV23" s="212">
        <f>AV15</f>
        <v>4.1755693600000005E-2</v>
      </c>
      <c r="AW23" s="184"/>
      <c r="AX23" s="184"/>
      <c r="AY23" s="184"/>
      <c r="AZ23" s="184"/>
      <c r="BA23" s="184"/>
      <c r="BB23" s="82"/>
    </row>
    <row r="24" spans="1:54" ht="15">
      <c r="A24" s="82"/>
      <c r="B24" s="82"/>
      <c r="C24" s="82"/>
      <c r="D24" s="82"/>
      <c r="E24" s="2" t="s">
        <v>704</v>
      </c>
      <c r="F24" s="82"/>
      <c r="G24" s="2" t="s">
        <v>315</v>
      </c>
      <c r="H24" s="82" t="s">
        <v>705</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5">
      <c r="A25" s="82"/>
      <c r="B25" s="82"/>
      <c r="C25" s="82"/>
      <c r="D25" s="82"/>
      <c r="E25" s="2" t="s">
        <v>706</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-0.60692550580425897</v>
      </c>
      <c r="AS25" s="13">
        <f>AS22*AS24</f>
        <v>-0.63104082748655177</v>
      </c>
      <c r="AT25" s="13">
        <f>AT22*AT24</f>
        <v>-0.65714710212635008</v>
      </c>
      <c r="AU25" s="13">
        <f>AU22*AU24</f>
        <v>-0.68438596175021227</v>
      </c>
      <c r="AV25" s="13">
        <f>AV22*AV24</f>
        <v>-0.71283458885813955</v>
      </c>
      <c r="AW25" s="184"/>
      <c r="AX25" s="184"/>
      <c r="AY25" s="184"/>
      <c r="AZ25" s="184"/>
      <c r="BA25" s="184"/>
      <c r="BB25" s="82"/>
    </row>
    <row r="26" spans="1:54" ht="15">
      <c r="A26" s="82"/>
      <c r="B26" s="82"/>
      <c r="C26" s="82"/>
      <c r="D26" s="82"/>
      <c r="E26" s="2" t="s">
        <v>706</v>
      </c>
      <c r="F26" s="82"/>
      <c r="G26" s="2" t="s">
        <v>304</v>
      </c>
      <c r="H26" s="82" t="s">
        <v>707</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-0.94068216737917187</v>
      </c>
      <c r="AS26" s="13">
        <f>AS25*AS13</f>
        <v>-1.0078641613928483</v>
      </c>
      <c r="AT26" s="13">
        <f>AT25*AT13</f>
        <v>-1.0675089940277054</v>
      </c>
      <c r="AU26" s="13">
        <f>AU25*AU13</f>
        <v>-1.1289024817241022</v>
      </c>
      <c r="AV26" s="13">
        <f>AV25*AV13</f>
        <v>-1.1969488803140593</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708</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709</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710</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711</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344.67962761908268</v>
      </c>
      <c r="AQ32" s="9">
        <f>SelectedInputs!AQ352</f>
        <v>330.52534860015589</v>
      </c>
      <c r="AR32" s="30"/>
      <c r="AS32" s="30"/>
      <c r="AT32" s="30"/>
      <c r="AU32" s="30"/>
      <c r="AV32" s="30"/>
      <c r="AW32" s="184"/>
      <c r="AX32" s="184"/>
      <c r="AY32" s="184"/>
      <c r="AZ32" s="184"/>
      <c r="BA32" s="184"/>
      <c r="BB32" s="82"/>
    </row>
    <row r="33" spans="1:54" ht="15">
      <c r="A33" s="82"/>
      <c r="B33" s="82"/>
      <c r="C33" s="82"/>
      <c r="D33" s="82"/>
      <c r="E33" s="7" t="s">
        <v>710</v>
      </c>
      <c r="F33" s="82"/>
      <c r="G33" s="2" t="s">
        <v>304</v>
      </c>
      <c r="H33" s="82" t="s">
        <v>712</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15.055752718568424</v>
      </c>
      <c r="AS33" s="30">
        <f>IFERROR(((AQ$13-AQ10)/AQ$13) * AQ$32 * AQ$16 * AR$16*AS13,0)</f>
        <v>45.087761216473645</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415.26918895190363</v>
      </c>
      <c r="AK36" s="8">
        <f>SelectedInputs!AK355</f>
        <v>452.07398720983605</v>
      </c>
      <c r="AL36" s="8">
        <f>SelectedInputs!AL355</f>
        <v>394.40800000000002</v>
      </c>
      <c r="AM36" s="8">
        <f>SelectedInputs!AM355</f>
        <v>413.89699999999999</v>
      </c>
      <c r="AN36" s="8">
        <f>SelectedInputs!AN355</f>
        <v>438.33800000000002</v>
      </c>
      <c r="AO36" s="8">
        <f>SelectedInputs!AO355</f>
        <v>410.62294568115544</v>
      </c>
      <c r="AP36" s="8">
        <f>SelectedInputs!AP355</f>
        <v>428.28951999999998</v>
      </c>
      <c r="AQ36" s="9">
        <f>SelectedInputs!AQ355</f>
        <v>535.9583433900001</v>
      </c>
      <c r="AR36" s="8"/>
      <c r="AS36" s="30"/>
      <c r="AT36" s="30"/>
      <c r="AU36" s="30"/>
      <c r="AV36" s="30"/>
      <c r="AW36" s="184"/>
      <c r="AX36" s="184"/>
      <c r="AY36" s="184"/>
      <c r="AZ36" s="184"/>
      <c r="BA36" s="184"/>
      <c r="BB36" s="82"/>
    </row>
    <row r="37" spans="1:54" ht="15">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404.59389821967591</v>
      </c>
      <c r="AK37" s="8">
        <f>SelectedInputs!AK356</f>
        <v>448.0633651518184</v>
      </c>
      <c r="AL37" s="8">
        <f>SelectedInputs!AL356</f>
        <v>398.70531750288188</v>
      </c>
      <c r="AM37" s="8">
        <f>SelectedInputs!AM356</f>
        <v>414.63304060511632</v>
      </c>
      <c r="AN37" s="8">
        <f>SelectedInputs!AN356</f>
        <v>428.93724226093093</v>
      </c>
      <c r="AO37" s="8">
        <f>SelectedInputs!AO356</f>
        <v>432.055209499189</v>
      </c>
      <c r="AP37" s="8">
        <f>SelectedInputs!AP356</f>
        <v>425.02235929678614</v>
      </c>
      <c r="AQ37" s="9">
        <f>SelectedInputs!AQ356</f>
        <v>546.11042786457949</v>
      </c>
      <c r="AR37" s="8"/>
      <c r="AS37" s="30"/>
      <c r="AT37" s="30"/>
      <c r="AU37" s="30"/>
      <c r="AV37" s="30"/>
      <c r="AW37" s="184"/>
      <c r="AX37" s="184"/>
      <c r="AY37" s="184"/>
      <c r="AZ37" s="184"/>
      <c r="BA37" s="184"/>
      <c r="BB37" s="82"/>
    </row>
    <row r="38" spans="1:54" ht="15">
      <c r="A38" s="82"/>
      <c r="B38" s="82"/>
      <c r="C38" s="82"/>
      <c r="D38" s="82"/>
      <c r="E38" s="318" t="s">
        <v>713</v>
      </c>
      <c r="F38" s="82"/>
      <c r="G38" s="82" t="s">
        <v>304</v>
      </c>
      <c r="H38" s="82" t="s">
        <v>714</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10.675290732227722</v>
      </c>
      <c r="AK38" s="7">
        <f t="shared" si="2"/>
        <v>4.0106220580176455</v>
      </c>
      <c r="AL38" s="7">
        <f t="shared" si="2"/>
        <v>-4.2973175028818673</v>
      </c>
      <c r="AM38" s="7">
        <f t="shared" si="2"/>
        <v>-0.73604060511632952</v>
      </c>
      <c r="AN38" s="7">
        <f t="shared" si="2"/>
        <v>9.4007577390690926</v>
      </c>
      <c r="AO38" s="7">
        <f t="shared" si="2"/>
        <v>-21.432263818033562</v>
      </c>
      <c r="AP38" s="7">
        <f t="shared" si="2"/>
        <v>3.2671607032138468</v>
      </c>
      <c r="AQ38" s="65">
        <f t="shared" si="2"/>
        <v>-10.152084474579397</v>
      </c>
      <c r="AR38" s="8"/>
      <c r="AS38" s="30"/>
      <c r="AT38" s="30"/>
      <c r="AU38" s="30"/>
      <c r="AV38" s="30"/>
      <c r="AW38" s="184"/>
      <c r="AX38" s="184"/>
      <c r="AY38" s="184"/>
      <c r="AZ38" s="184"/>
      <c r="BA38" s="184"/>
      <c r="BB38" s="82"/>
    </row>
    <row r="39" spans="1:54" ht="15">
      <c r="A39" s="82"/>
      <c r="B39" s="82"/>
      <c r="C39" s="82"/>
      <c r="D39" s="82"/>
      <c r="E39" s="318" t="s">
        <v>426</v>
      </c>
      <c r="F39" s="82"/>
      <c r="G39" s="82" t="s">
        <v>100</v>
      </c>
      <c r="H39" s="82" t="s">
        <v>715</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0.71767123287671231</v>
      </c>
      <c r="AO39" s="8">
        <f>SelectedInputs!AO357</f>
        <v>0.1</v>
      </c>
      <c r="AP39" s="8">
        <f>SelectedInputs!AP357</f>
        <v>0.19289999999999999</v>
      </c>
      <c r="AQ39" s="9">
        <f>SelectedInputs!AQ357</f>
        <v>2.3034246575342463</v>
      </c>
      <c r="AR39" s="8">
        <f>SelectedInputs!AR357</f>
        <v>0</v>
      </c>
      <c r="AS39" s="8"/>
      <c r="AT39" s="30"/>
      <c r="AU39" s="30"/>
      <c r="AV39" s="30"/>
      <c r="AW39" s="184"/>
      <c r="AX39" s="184"/>
      <c r="AY39" s="184"/>
      <c r="AZ39" s="184"/>
      <c r="BA39" s="184"/>
      <c r="BB39" s="82"/>
    </row>
    <row r="40" spans="1:54" ht="15">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5">
      <c r="A41" s="82"/>
      <c r="B41" s="82"/>
      <c r="C41" s="82"/>
      <c r="D41" s="82"/>
      <c r="E41" s="318" t="s">
        <v>716</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717</v>
      </c>
      <c r="F42" s="82"/>
      <c r="G42" s="82" t="s">
        <v>304</v>
      </c>
      <c r="H42" s="82" t="s">
        <v>718</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11.088673086225823</v>
      </c>
      <c r="AM42" s="7">
        <f t="shared" si="4"/>
        <v>4.1599120641999239</v>
      </c>
      <c r="AN42" s="7">
        <f t="shared" si="4"/>
        <v>-4.4717292443104828</v>
      </c>
      <c r="AO42" s="7">
        <f t="shared" si="4"/>
        <v>-0.7686579055721704</v>
      </c>
      <c r="AP42" s="7">
        <f t="shared" si="4"/>
        <v>9.7629834093467913</v>
      </c>
      <c r="AQ42" s="65">
        <f t="shared" si="4"/>
        <v>-22.143812062004397</v>
      </c>
      <c r="AR42" s="7">
        <f t="shared" si="4"/>
        <v>3.4488381277305424</v>
      </c>
      <c r="AS42" s="7"/>
      <c r="AT42" s="7"/>
      <c r="AU42" s="30"/>
      <c r="AV42" s="30"/>
      <c r="AW42" s="184"/>
      <c r="AX42" s="184"/>
      <c r="AY42" s="184"/>
      <c r="AZ42" s="184"/>
      <c r="BA42" s="184"/>
      <c r="BB42" s="82"/>
    </row>
    <row r="43" spans="1:54" ht="15">
      <c r="A43" s="82"/>
      <c r="B43" s="82"/>
      <c r="C43" s="82"/>
      <c r="D43" s="82"/>
      <c r="E43" s="56" t="s">
        <v>719</v>
      </c>
      <c r="F43" s="82"/>
      <c r="G43" s="82" t="s">
        <v>304</v>
      </c>
      <c r="H43" s="82" t="s">
        <v>720</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-11.088673086225823</v>
      </c>
      <c r="AM43" s="7">
        <f t="shared" si="5"/>
        <v>-4.1599120641999239</v>
      </c>
      <c r="AN43" s="7">
        <f t="shared" si="5"/>
        <v>4.4717292443104828</v>
      </c>
      <c r="AO43" s="7">
        <f t="shared" si="5"/>
        <v>0.7686579055721704</v>
      </c>
      <c r="AP43" s="7">
        <f t="shared" si="5"/>
        <v>-9.7629834093467913</v>
      </c>
      <c r="AQ43" s="65">
        <f t="shared" si="5"/>
        <v>22.143812062004397</v>
      </c>
      <c r="AR43" s="30">
        <f t="shared" si="5"/>
        <v>-3.4488381277305424</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SelectedInputs!AR360</f>
        <v>2.3961429999999999E-2</v>
      </c>
      <c r="AS46" s="8">
        <f>SelectedInputs!AS360</f>
        <v>0</v>
      </c>
      <c r="AT46" s="8">
        <f>SelectedInputs!AT360</f>
        <v>0</v>
      </c>
      <c r="AU46" s="8">
        <f>SelectedInputs!AU360</f>
        <v>0</v>
      </c>
      <c r="AV46" s="8">
        <f>SelectedInputs!AV360</f>
        <v>0</v>
      </c>
      <c r="AW46" s="184"/>
      <c r="AX46" s="184"/>
      <c r="AY46" s="184"/>
      <c r="AZ46" s="184"/>
      <c r="BA46" s="184"/>
      <c r="BB46" s="82"/>
    </row>
    <row r="47" spans="1:54" ht="15">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5">
      <c r="A48" s="82"/>
      <c r="B48" s="82"/>
      <c r="C48" s="82"/>
      <c r="D48" s="82"/>
      <c r="E48" s="513" t="s">
        <v>430</v>
      </c>
      <c r="F48" s="510"/>
      <c r="G48" s="510" t="s">
        <v>304</v>
      </c>
      <c r="H48" s="510" t="s">
        <v>721</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2.3961429999999999E-2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722</v>
      </c>
      <c r="F51" s="82"/>
      <c r="G51" s="82" t="s">
        <v>304</v>
      </c>
      <c r="H51" s="82" t="s">
        <v>723</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0</v>
      </c>
      <c r="AK51" s="8">
        <f>SelectedInputs!AK363</f>
        <v>0</v>
      </c>
      <c r="AL51" s="8">
        <f>SelectedInputs!AL363</f>
        <v>0</v>
      </c>
      <c r="AM51" s="8">
        <f>SelectedInputs!AM363</f>
        <v>0</v>
      </c>
      <c r="AN51" s="8">
        <f>SelectedInputs!AN363</f>
        <v>0</v>
      </c>
      <c r="AO51" s="8">
        <f>SelectedInputs!AO363</f>
        <v>0</v>
      </c>
      <c r="AP51" s="8">
        <f>SelectedInputs!AP363</f>
        <v>0</v>
      </c>
      <c r="AQ51" s="9">
        <f>SelectedInputs!AQ363</f>
        <v>0</v>
      </c>
      <c r="AR51" s="8"/>
      <c r="AS51" s="8"/>
      <c r="AT51" s="30"/>
      <c r="AU51" s="30"/>
      <c r="AV51" s="30"/>
      <c r="AW51" s="184"/>
      <c r="AX51" s="184"/>
      <c r="AY51" s="184"/>
      <c r="AZ51" s="184"/>
      <c r="BA51" s="184"/>
      <c r="BB51" s="82"/>
    </row>
    <row r="52" spans="1:54" ht="15">
      <c r="A52" s="82"/>
      <c r="B52" s="82"/>
      <c r="C52" s="82"/>
      <c r="D52" s="82"/>
      <c r="E52" s="318" t="s">
        <v>724</v>
      </c>
      <c r="F52" s="82"/>
      <c r="G52" s="82" t="s">
        <v>304</v>
      </c>
      <c r="H52" s="82" t="s">
        <v>725</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5">
      <c r="A53" s="82"/>
      <c r="B53" s="82"/>
      <c r="C53" s="82"/>
      <c r="D53" s="82"/>
      <c r="E53" s="318" t="s">
        <v>438</v>
      </c>
      <c r="F53" s="82"/>
      <c r="G53" s="82" t="s">
        <v>529</v>
      </c>
      <c r="H53" s="82" t="s">
        <v>726</v>
      </c>
      <c r="I53" s="260">
        <f>SelectedInputs!I364</f>
        <v>43.4</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727</v>
      </c>
      <c r="F54" s="82"/>
      <c r="G54" s="82" t="s">
        <v>304</v>
      </c>
      <c r="H54" s="82" t="s">
        <v>728</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729</v>
      </c>
      <c r="F55" s="82"/>
      <c r="G55" s="82" t="s">
        <v>304</v>
      </c>
      <c r="H55" s="82" t="s">
        <v>730</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731</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732</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733</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2.4022697420249686</v>
      </c>
      <c r="AQ59" s="9">
        <f>SelectedInputs!AQ368</f>
        <v>2.7761772633747479</v>
      </c>
      <c r="AR59" s="30"/>
      <c r="AS59" s="30"/>
      <c r="AT59" s="30"/>
      <c r="AU59" s="30"/>
      <c r="AV59" s="30"/>
      <c r="AW59" s="184"/>
      <c r="AX59" s="184"/>
      <c r="AY59" s="184"/>
      <c r="AZ59" s="184"/>
      <c r="BA59" s="184"/>
      <c r="BB59" s="82"/>
    </row>
    <row r="60" spans="1:54" ht="15">
      <c r="A60" s="82"/>
      <c r="B60" s="82"/>
      <c r="C60" s="82"/>
      <c r="D60" s="82"/>
      <c r="E60" s="318" t="s">
        <v>734</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5">
      <c r="A61" s="82"/>
      <c r="B61" s="82"/>
      <c r="C61" s="82"/>
      <c r="D61" s="82"/>
      <c r="E61" s="318" t="s">
        <v>735</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0.1</v>
      </c>
      <c r="AQ61" s="9">
        <f>SelectedInputs!AQ370</f>
        <v>0.96</v>
      </c>
      <c r="AR61" s="30"/>
      <c r="AS61" s="30"/>
      <c r="AT61" s="30"/>
      <c r="AU61" s="30"/>
      <c r="AV61" s="30"/>
      <c r="AW61" s="184"/>
      <c r="AX61" s="184"/>
      <c r="AY61" s="184"/>
      <c r="AZ61" s="184"/>
      <c r="BA61" s="184"/>
      <c r="BB61" s="82"/>
    </row>
    <row r="62" spans="1:54" ht="15">
      <c r="A62" s="82"/>
      <c r="B62" s="82"/>
      <c r="C62" s="82"/>
      <c r="D62" s="82"/>
      <c r="E62" s="7" t="s">
        <v>736</v>
      </c>
      <c r="F62" s="82"/>
      <c r="G62" s="2" t="s">
        <v>304</v>
      </c>
      <c r="H62" s="82" t="s">
        <v>737</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3.1821889546497153</v>
      </c>
      <c r="AS62" s="30">
        <f>SUM(AQ59:AQ61)*AQ$13</f>
        <v>5.3630641647829487</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738</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739</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13.223811536789343</v>
      </c>
      <c r="AQ65" s="9">
        <f>SelectedInputs!AQ372</f>
        <v>12.30038036064135</v>
      </c>
      <c r="AR65" s="30"/>
      <c r="AS65" s="30"/>
      <c r="AT65" s="30"/>
      <c r="AU65" s="30"/>
      <c r="AV65" s="30"/>
      <c r="AW65" s="184"/>
      <c r="AX65" s="184"/>
      <c r="AY65" s="184"/>
      <c r="AZ65" s="184"/>
      <c r="BA65" s="184"/>
      <c r="BB65" s="82"/>
    </row>
    <row r="66" spans="1:54" ht="15">
      <c r="A66" s="82"/>
      <c r="B66" s="82"/>
      <c r="C66" s="82"/>
      <c r="D66" s="82"/>
      <c r="E66" s="318" t="s">
        <v>740</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0</v>
      </c>
      <c r="AQ66" s="9">
        <f>SelectedInputs!AQ373</f>
        <v>0</v>
      </c>
      <c r="AR66" s="30"/>
      <c r="AS66" s="30"/>
      <c r="AT66" s="30"/>
      <c r="AU66" s="30"/>
      <c r="AV66" s="30"/>
      <c r="AW66" s="184"/>
      <c r="AX66" s="184"/>
      <c r="AY66" s="184"/>
      <c r="AZ66" s="184"/>
      <c r="BA66" s="184"/>
      <c r="BB66" s="82"/>
    </row>
    <row r="67" spans="1:54" ht="15">
      <c r="A67" s="82"/>
      <c r="B67" s="82"/>
      <c r="C67" s="82"/>
      <c r="D67" s="82"/>
      <c r="E67" s="318" t="s">
        <v>741</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-0.13030199999999997</v>
      </c>
      <c r="AQ67" s="9">
        <f>SelectedInputs!AQ374</f>
        <v>-0.12736799999999998</v>
      </c>
      <c r="AR67" s="30"/>
      <c r="AS67" s="30"/>
      <c r="AT67" s="30"/>
      <c r="AU67" s="30"/>
      <c r="AV67" s="30"/>
      <c r="AW67" s="184"/>
      <c r="AX67" s="184"/>
      <c r="AY67" s="184"/>
      <c r="AZ67" s="184"/>
      <c r="BA67" s="184"/>
      <c r="BB67" s="82"/>
    </row>
    <row r="68" spans="1:54" ht="15">
      <c r="A68" s="82"/>
      <c r="B68" s="82"/>
      <c r="C68" s="82"/>
      <c r="D68" s="82"/>
      <c r="E68" s="7" t="s">
        <v>738</v>
      </c>
      <c r="F68" s="82"/>
      <c r="G68" s="2" t="s">
        <v>304</v>
      </c>
      <c r="H68" s="82" t="s">
        <v>742</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21.569220220556701</v>
      </c>
      <c r="AS68" s="30">
        <f>SUM(AQ65:AQ67) * AQ$16 * AR$16 * AS$13</f>
        <v>20.828292447534761</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743</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5">
      <c r="A72" s="82"/>
      <c r="B72" s="82"/>
      <c r="C72" s="82"/>
      <c r="D72" s="82"/>
      <c r="E72" s="7" t="s">
        <v>456</v>
      </c>
      <c r="F72" s="82"/>
      <c r="G72" s="2" t="s">
        <v>304</v>
      </c>
      <c r="H72" s="82" t="s">
        <v>744</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745</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0.3</v>
      </c>
      <c r="AQ75" s="9">
        <f>SelectedInputs!AQ378</f>
        <v>0.3</v>
      </c>
      <c r="AR75" s="30"/>
      <c r="AS75" s="30"/>
      <c r="AT75" s="30"/>
      <c r="AU75" s="30"/>
      <c r="AV75" s="30"/>
      <c r="AW75" s="184"/>
      <c r="AX75" s="184"/>
      <c r="AY75" s="184"/>
      <c r="AZ75" s="184"/>
      <c r="BA75" s="184"/>
      <c r="BB75" s="82"/>
    </row>
    <row r="76" spans="1:54" ht="15">
      <c r="A76" s="82"/>
      <c r="B76" s="82"/>
      <c r="C76" s="82"/>
      <c r="D76" s="82"/>
      <c r="E76" s="346" t="s">
        <v>746</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0.3</v>
      </c>
      <c r="AQ76" s="9">
        <f>SelectedInputs!AQ379</f>
        <v>0.3</v>
      </c>
      <c r="AR76" s="30"/>
      <c r="AS76" s="30"/>
      <c r="AT76" s="30"/>
      <c r="AU76" s="30"/>
      <c r="AV76" s="30"/>
      <c r="AW76" s="184"/>
      <c r="AX76" s="184"/>
      <c r="AY76" s="184"/>
      <c r="AZ76" s="184"/>
      <c r="BA76" s="184"/>
      <c r="BB76" s="82"/>
    </row>
    <row r="77" spans="1:54" ht="15">
      <c r="A77" s="82"/>
      <c r="B77" s="82"/>
      <c r="C77" s="82"/>
      <c r="D77" s="82"/>
      <c r="E77" s="346" t="s">
        <v>747</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0.29216897108190099</v>
      </c>
      <c r="AQ77" s="9">
        <f>SelectedInputs!AQ380</f>
        <v>0.3</v>
      </c>
      <c r="AR77" s="30"/>
      <c r="AS77" s="30"/>
      <c r="AT77" s="30"/>
      <c r="AU77" s="30"/>
      <c r="AV77" s="30"/>
      <c r="AW77" s="184"/>
      <c r="AX77" s="184"/>
      <c r="AY77" s="184"/>
      <c r="AZ77" s="184"/>
      <c r="BA77" s="184"/>
      <c r="BB77" s="82"/>
    </row>
    <row r="78" spans="1:54" ht="15">
      <c r="A78" s="82"/>
      <c r="B78" s="82"/>
      <c r="C78" s="82"/>
      <c r="D78" s="82"/>
      <c r="E78" s="346" t="s">
        <v>748</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0.3</v>
      </c>
      <c r="AQ78" s="9">
        <f>SelectedInputs!AQ381</f>
        <v>0.3</v>
      </c>
      <c r="AR78" s="30"/>
      <c r="AS78" s="30"/>
      <c r="AT78" s="30"/>
      <c r="AU78" s="30"/>
      <c r="AV78" s="30"/>
      <c r="AW78" s="184"/>
      <c r="AX78" s="184"/>
      <c r="AY78" s="184"/>
      <c r="AZ78" s="184"/>
      <c r="BA78" s="184"/>
      <c r="BB78" s="82"/>
    </row>
    <row r="79" spans="1:54" ht="15">
      <c r="A79" s="82"/>
      <c r="B79" s="82"/>
      <c r="C79" s="82"/>
      <c r="D79" s="82"/>
      <c r="E79" s="293" t="s">
        <v>749</v>
      </c>
      <c r="F79" s="82"/>
      <c r="G79" s="2" t="s">
        <v>304</v>
      </c>
      <c r="H79" s="82" t="s">
        <v>750</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1.5161063046635705</v>
      </c>
      <c r="AS79" s="30">
        <f>SUM(AQ75:AQ78)*AQ$13</f>
        <v>1.7225298865842447</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751</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752</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753</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2.3656330080000001</v>
      </c>
      <c r="AQ83" s="9">
        <f>SelectedInputs!AQ385</f>
        <v>2.4858109989999999</v>
      </c>
      <c r="AR83" s="30"/>
      <c r="AS83" s="30"/>
      <c r="AT83" s="30"/>
      <c r="AU83" s="30"/>
      <c r="AV83" s="30"/>
      <c r="AW83" s="184"/>
      <c r="AX83" s="184"/>
      <c r="AY83" s="184"/>
      <c r="AZ83" s="184"/>
      <c r="BA83" s="184"/>
      <c r="BB83" s="82"/>
    </row>
    <row r="84" spans="1:54" ht="15">
      <c r="A84" s="82"/>
      <c r="B84" s="82"/>
      <c r="C84" s="82"/>
      <c r="D84" s="82"/>
      <c r="E84" s="346" t="s">
        <v>754</v>
      </c>
      <c r="F84" s="82"/>
      <c r="G84" s="82" t="s">
        <v>755</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1.1000000000000001</v>
      </c>
      <c r="AQ84" s="9">
        <f>SelectedInputs!AQ386</f>
        <v>1.1000000000000001</v>
      </c>
      <c r="AR84" s="30"/>
      <c r="AS84" s="30"/>
      <c r="AT84" s="30"/>
      <c r="AU84" s="30"/>
      <c r="AV84" s="30"/>
      <c r="AW84" s="184"/>
      <c r="AX84" s="184"/>
      <c r="AY84" s="184"/>
      <c r="AZ84" s="184"/>
      <c r="BA84" s="184"/>
      <c r="BB84" s="82"/>
    </row>
    <row r="85" spans="1:54" ht="15">
      <c r="A85" s="82"/>
      <c r="B85" s="82"/>
      <c r="C85" s="82"/>
      <c r="D85" s="82"/>
      <c r="E85" s="293" t="s">
        <v>752</v>
      </c>
      <c r="F85" s="82"/>
      <c r="G85" s="82" t="s">
        <v>304</v>
      </c>
      <c r="H85" s="82" t="s">
        <v>756</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1.2522648426184633</v>
      </c>
      <c r="AS85" s="30">
        <f>(AQ83/AQ$13 - AQ84) * AQ$16 * AR$16 * AS$13</f>
        <v>1.0809203615537422</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757</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25.594880011000001</v>
      </c>
      <c r="AQ88" s="9">
        <f>SelectedInputs!AQ388</f>
        <v>25.594879986999999</v>
      </c>
      <c r="AR88" s="30"/>
      <c r="AS88" s="30"/>
      <c r="AT88" s="30"/>
      <c r="AU88" s="30"/>
      <c r="AV88" s="30"/>
      <c r="AW88" s="184"/>
      <c r="AX88" s="184"/>
      <c r="AY88" s="184"/>
      <c r="AZ88" s="184"/>
      <c r="BA88" s="184"/>
      <c r="BB88" s="82"/>
    </row>
    <row r="89" spans="1:54" ht="15">
      <c r="A89" s="82"/>
      <c r="B89" s="82"/>
      <c r="C89" s="82"/>
      <c r="D89" s="82"/>
      <c r="E89" s="346" t="s">
        <v>758</v>
      </c>
      <c r="F89" s="82"/>
      <c r="G89" s="82" t="s">
        <v>755</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26.4</v>
      </c>
      <c r="AQ89" s="9">
        <f>SelectedInputs!AQ389</f>
        <v>26.7</v>
      </c>
      <c r="AR89" s="30"/>
      <c r="AS89" s="30"/>
      <c r="AT89" s="30"/>
      <c r="AU89" s="30"/>
      <c r="AV89" s="30"/>
      <c r="AW89" s="184"/>
      <c r="AX89" s="184"/>
      <c r="AY89" s="184"/>
      <c r="AZ89" s="184"/>
      <c r="BA89" s="184"/>
      <c r="BB89" s="82"/>
    </row>
    <row r="90" spans="1:54" ht="15">
      <c r="A90" s="82"/>
      <c r="B90" s="82"/>
      <c r="C90" s="82"/>
      <c r="D90" s="82"/>
      <c r="E90" s="293" t="s">
        <v>473</v>
      </c>
      <c r="F90" s="82"/>
      <c r="G90" s="82" t="s">
        <v>304</v>
      </c>
      <c r="H90" s="82" t="s">
        <v>759</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-10.335005980804159</v>
      </c>
      <c r="AS90" s="30">
        <f>(AQ88/AQ$13 - AQ89) * AQ$16 * AR$16 * AS$13</f>
        <v>-15.175625062297629</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760</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13.948872492000001</v>
      </c>
      <c r="AQ93" s="9">
        <f>SelectedInputs!AQ391</f>
        <v>14.123787138000001</v>
      </c>
      <c r="AR93" s="30"/>
      <c r="AS93" s="30"/>
      <c r="AT93" s="30"/>
      <c r="AU93" s="30"/>
      <c r="AV93" s="30"/>
      <c r="AW93" s="184"/>
      <c r="AX93" s="184"/>
      <c r="AY93" s="184"/>
      <c r="AZ93" s="184"/>
      <c r="BA93" s="184"/>
      <c r="BB93" s="82"/>
    </row>
    <row r="94" spans="1:54" ht="15">
      <c r="A94" s="82"/>
      <c r="B94" s="82"/>
      <c r="C94" s="82"/>
      <c r="D94" s="82"/>
      <c r="E94" s="346" t="s">
        <v>761</v>
      </c>
      <c r="F94" s="82"/>
      <c r="G94" s="82" t="s">
        <v>755</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19.5</v>
      </c>
      <c r="AQ94" s="9">
        <f>SelectedInputs!AQ392</f>
        <v>22.9</v>
      </c>
      <c r="AR94" s="30"/>
      <c r="AS94" s="30"/>
      <c r="AT94" s="30"/>
      <c r="AU94" s="30"/>
      <c r="AV94" s="30"/>
      <c r="AW94" s="184"/>
      <c r="AX94" s="184"/>
      <c r="AY94" s="184"/>
      <c r="AZ94" s="184"/>
      <c r="BA94" s="184"/>
      <c r="BB94" s="82"/>
    </row>
    <row r="95" spans="1:54" ht="15">
      <c r="A95" s="82"/>
      <c r="B95" s="82"/>
      <c r="C95" s="82"/>
      <c r="D95" s="82"/>
      <c r="E95" s="293" t="s">
        <v>478</v>
      </c>
      <c r="F95" s="82"/>
      <c r="G95" s="82" t="s">
        <v>304</v>
      </c>
      <c r="H95" s="82" t="s">
        <v>762</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-14.054122623303202</v>
      </c>
      <c r="AS95" s="30">
        <f>(AQ93/AQ$13 - AQ94) * AQ$16 * AR$16 * AS$13</f>
        <v>-22.347089686777618</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763</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2.5358084989999998</v>
      </c>
      <c r="AQ98" s="9">
        <f>SelectedInputs!AQ394</f>
        <v>2.7987939959999997</v>
      </c>
      <c r="AR98" s="30"/>
      <c r="AS98" s="30"/>
      <c r="AT98" s="30"/>
      <c r="AU98" s="30"/>
      <c r="AV98" s="30"/>
      <c r="AW98" s="184"/>
      <c r="AX98" s="184"/>
      <c r="AY98" s="184"/>
      <c r="AZ98" s="184"/>
      <c r="BA98" s="184"/>
      <c r="BB98" s="82"/>
    </row>
    <row r="99" spans="1:54" ht="15">
      <c r="A99" s="82"/>
      <c r="B99" s="82"/>
      <c r="C99" s="82"/>
      <c r="D99" s="82"/>
      <c r="E99" s="346" t="s">
        <v>764</v>
      </c>
      <c r="F99" s="82"/>
      <c r="G99" s="82" t="s">
        <v>755</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5">
      <c r="A100" s="82"/>
      <c r="B100" s="82"/>
      <c r="C100" s="82"/>
      <c r="D100" s="82"/>
      <c r="E100" s="293" t="s">
        <v>483</v>
      </c>
      <c r="F100" s="82"/>
      <c r="G100" s="82" t="s">
        <v>304</v>
      </c>
      <c r="H100" s="82" t="s">
        <v>765</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3.2847550515420583</v>
      </c>
      <c r="AS100" s="30">
        <f>(AQ98/AQ$13 - AQ99) * AQ$16 * AR$16 * AS$13</f>
        <v>3.3361150371354618</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766</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0.86189553348708203</v>
      </c>
      <c r="AQ103" s="9">
        <f>SelectedInputs!AQ397</f>
        <v>1.6924342891363591</v>
      </c>
      <c r="AR103" s="30"/>
      <c r="AS103" s="30"/>
      <c r="AT103" s="30"/>
      <c r="AU103" s="30"/>
      <c r="AV103" s="30"/>
      <c r="AW103" s="184"/>
      <c r="AX103" s="184"/>
      <c r="AY103" s="184"/>
      <c r="AZ103" s="184"/>
      <c r="BA103" s="184"/>
      <c r="BB103" s="82"/>
    </row>
    <row r="104" spans="1:54" ht="15">
      <c r="A104" s="82"/>
      <c r="B104" s="82"/>
      <c r="C104" s="82"/>
      <c r="D104" s="82"/>
      <c r="E104" s="346" t="s">
        <v>767</v>
      </c>
      <c r="G104" s="82" t="s">
        <v>755</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5">
      <c r="A105" s="82"/>
      <c r="B105" s="82"/>
      <c r="C105" s="82"/>
      <c r="D105" s="82"/>
      <c r="E105" s="293" t="s">
        <v>488</v>
      </c>
      <c r="F105" s="82"/>
      <c r="G105" s="82" t="s">
        <v>304</v>
      </c>
      <c r="H105" s="82" t="s">
        <v>768</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1.1164548540000891</v>
      </c>
      <c r="AS105" s="30">
        <f>(AQ103/AQ$13 - AQ104) * AQ$16 * AR$16 * AS$13</f>
        <v>2.0173530061236686</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769</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0</v>
      </c>
      <c r="AQ108" s="9">
        <f>SelectedInputs!AQ400</f>
        <v>0</v>
      </c>
      <c r="AR108" s="30"/>
      <c r="AS108" s="30"/>
      <c r="AT108" s="30"/>
      <c r="AU108" s="30"/>
      <c r="AV108" s="30"/>
      <c r="AW108" s="184"/>
      <c r="AX108" s="184"/>
      <c r="AY108" s="184"/>
      <c r="AZ108" s="184"/>
      <c r="BA108" s="184"/>
      <c r="BB108" s="82"/>
    </row>
    <row r="109" spans="1:54" ht="15">
      <c r="A109" s="82"/>
      <c r="B109" s="82"/>
      <c r="C109" s="82"/>
      <c r="D109" s="82"/>
      <c r="E109" s="346" t="s">
        <v>770</v>
      </c>
      <c r="G109" s="82" t="s">
        <v>755</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5">
      <c r="A110" s="82"/>
      <c r="B110" s="82"/>
      <c r="C110" s="82"/>
      <c r="D110" s="82"/>
      <c r="E110" s="293" t="s">
        <v>493</v>
      </c>
      <c r="F110" s="82"/>
      <c r="G110" s="82" t="s">
        <v>304</v>
      </c>
      <c r="H110" s="82" t="s">
        <v>771</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772</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5">
      <c r="A114" s="82"/>
      <c r="B114" s="82"/>
      <c r="C114" s="82"/>
      <c r="D114" s="82"/>
      <c r="E114" s="346" t="s">
        <v>773</v>
      </c>
      <c r="F114" s="82"/>
      <c r="G114" s="82" t="s">
        <v>755</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5">
      <c r="A115" s="82"/>
      <c r="B115" s="82"/>
      <c r="C115" s="82"/>
      <c r="D115" s="82"/>
      <c r="E115" s="293" t="s">
        <v>498</v>
      </c>
      <c r="F115" s="82"/>
      <c r="G115" s="82" t="s">
        <v>304</v>
      </c>
      <c r="H115" s="82" t="s">
        <v>774</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775</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5">
      <c r="A119" s="82"/>
      <c r="B119" s="82"/>
      <c r="C119" s="82"/>
      <c r="D119" s="82"/>
      <c r="E119" s="346" t="s">
        <v>776</v>
      </c>
      <c r="F119" s="82"/>
      <c r="G119" s="82" t="s">
        <v>755</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5">
      <c r="A120" s="82"/>
      <c r="B120" s="82"/>
      <c r="C120" s="82"/>
      <c r="D120" s="82"/>
      <c r="E120" s="293" t="s">
        <v>503</v>
      </c>
      <c r="F120" s="82"/>
      <c r="G120" s="82" t="s">
        <v>304</v>
      </c>
      <c r="H120" s="82" t="s">
        <v>777</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778</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5">
      <c r="A124" s="82"/>
      <c r="B124" s="82"/>
      <c r="C124" s="82"/>
      <c r="D124" s="82"/>
      <c r="E124" s="346" t="s">
        <v>779</v>
      </c>
      <c r="F124" s="82"/>
      <c r="G124" s="82" t="s">
        <v>755</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5">
      <c r="A125" s="82"/>
      <c r="B125" s="82"/>
      <c r="C125" s="82"/>
      <c r="D125" s="82"/>
      <c r="E125" s="293" t="s">
        <v>508</v>
      </c>
      <c r="F125" s="82"/>
      <c r="G125" s="82" t="s">
        <v>304</v>
      </c>
      <c r="H125" s="82" t="s">
        <v>780</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781</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0.85363316</v>
      </c>
      <c r="AQ128" s="9">
        <f>SelectedInputs!AQ412</f>
        <v>1.5563771399999808</v>
      </c>
      <c r="AR128" s="7"/>
      <c r="AS128" s="30"/>
      <c r="AT128" s="30"/>
      <c r="AU128" s="30"/>
      <c r="AV128" s="30"/>
      <c r="AW128" s="184"/>
      <c r="AX128" s="184"/>
      <c r="AY128" s="184"/>
      <c r="AZ128" s="184"/>
      <c r="BA128" s="184"/>
      <c r="BB128" s="82"/>
    </row>
    <row r="129" spans="1:54" ht="15">
      <c r="A129" s="82"/>
      <c r="B129" s="82"/>
      <c r="C129" s="82"/>
      <c r="D129" s="82"/>
      <c r="E129" s="346" t="s">
        <v>782</v>
      </c>
      <c r="F129" s="82"/>
      <c r="G129" s="82" t="s">
        <v>304</v>
      </c>
      <c r="H129" s="82" t="s">
        <v>783</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513</v>
      </c>
      <c r="F130" s="82"/>
      <c r="G130" s="82" t="s">
        <v>304</v>
      </c>
      <c r="H130" s="82" t="s">
        <v>784</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1.105752203125576</v>
      </c>
      <c r="AS130" s="30">
        <f>(AQ128/AQ$13) * AQ$16 * AR$16 * AS$13 + AS129</f>
        <v>1.8551751888951173</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785</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786</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0.81328210400000012</v>
      </c>
      <c r="AP133" s="8">
        <f>SelectedInputs!AP414</f>
        <v>2.8365642404999996</v>
      </c>
      <c r="AQ133" s="9">
        <f>SelectedInputs!AQ414</f>
        <v>-3.0351906999999838E-2</v>
      </c>
      <c r="AR133" s="30"/>
      <c r="AS133" s="30"/>
      <c r="AT133" s="30"/>
      <c r="AU133" s="30"/>
      <c r="AV133" s="30"/>
      <c r="AW133" s="184"/>
      <c r="AX133" s="184"/>
      <c r="AY133" s="184"/>
      <c r="AZ133" s="184"/>
      <c r="BA133" s="184"/>
      <c r="BB133" s="82"/>
    </row>
    <row r="134" spans="1:54" ht="15">
      <c r="A134" s="82"/>
      <c r="B134" s="82"/>
      <c r="C134" s="82"/>
      <c r="D134" s="82"/>
      <c r="E134" s="346" t="s">
        <v>787</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0</v>
      </c>
      <c r="AP134" s="8">
        <f>SelectedInputs!AP415</f>
        <v>-0.15431398999999998</v>
      </c>
      <c r="AQ134" s="9">
        <f>SelectedInputs!AQ415</f>
        <v>-0.14489196000000001</v>
      </c>
      <c r="AR134" s="30"/>
      <c r="AS134" s="30"/>
      <c r="AT134" s="30"/>
      <c r="AU134" s="30"/>
      <c r="AV134" s="30"/>
      <c r="AW134" s="184"/>
      <c r="AX134" s="184"/>
      <c r="AY134" s="184"/>
      <c r="AZ134" s="184"/>
      <c r="BA134" s="184"/>
      <c r="BB134" s="82"/>
    </row>
    <row r="135" spans="1:54" ht="15">
      <c r="A135" s="82"/>
      <c r="B135" s="82"/>
      <c r="C135" s="82"/>
      <c r="D135" s="82"/>
      <c r="E135" s="293" t="s">
        <v>516</v>
      </c>
      <c r="F135" s="82"/>
      <c r="G135" s="82" t="s">
        <v>304</v>
      </c>
      <c r="H135" s="82" t="s">
        <v>788</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1.1506287792528189</v>
      </c>
      <c r="AS135" s="30">
        <f>((AP133-AP134))/AP$13*AP$16*AQ$16*AR$16*AS$13</f>
        <v>4.1509199589862948</v>
      </c>
      <c r="AT135" s="30">
        <f>((AQ133-AQ134))/AQ$13*AQ$16*AR$16*AS$16*AT$13</f>
        <v>0.14460955983552809</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5">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5">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5">
      <c r="A141" s="82"/>
      <c r="B141" s="82"/>
      <c r="C141" s="82"/>
      <c r="D141" s="82"/>
      <c r="E141" s="293" t="s">
        <v>789</v>
      </c>
      <c r="F141" s="82"/>
      <c r="G141" s="82" t="s">
        <v>304</v>
      </c>
      <c r="H141" s="82" t="s">
        <v>790</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791</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792</v>
      </c>
      <c r="F146" s="82"/>
      <c r="G146" s="2" t="s">
        <v>304</v>
      </c>
      <c r="H146" s="82" t="s">
        <v>793</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-0.94068216737917187</v>
      </c>
      <c r="AS146" s="30">
        <f>AS26</f>
        <v>-1.0078641613928483</v>
      </c>
      <c r="AT146" s="30">
        <f>AT26</f>
        <v>-1.0675089940277054</v>
      </c>
      <c r="AU146" s="30">
        <f>AU26</f>
        <v>-1.1289024817241022</v>
      </c>
      <c r="AV146" s="30">
        <f>AV26</f>
        <v>-1.1969488803140593</v>
      </c>
      <c r="AW146" s="184"/>
      <c r="AX146" s="184"/>
      <c r="AY146" s="184"/>
      <c r="AZ146" s="184"/>
      <c r="BA146" s="184"/>
      <c r="BB146" s="82"/>
    </row>
    <row r="147" spans="1:54" ht="15">
      <c r="A147" s="82"/>
      <c r="B147" s="82"/>
      <c r="C147" s="82"/>
      <c r="D147" s="82"/>
      <c r="E147" s="346" t="s">
        <v>794</v>
      </c>
      <c r="F147" s="82"/>
      <c r="G147" s="2" t="s">
        <v>304</v>
      </c>
      <c r="H147" s="82" t="s">
        <v>712</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15.055752718568424</v>
      </c>
      <c r="AS147" s="30">
        <f>AS33</f>
        <v>45.087761216473645</v>
      </c>
      <c r="AT147" s="30"/>
      <c r="AU147" s="30"/>
      <c r="AV147" s="30"/>
      <c r="AW147" s="184"/>
      <c r="AX147" s="184"/>
      <c r="AY147" s="184"/>
      <c r="AZ147" s="184"/>
      <c r="BA147" s="184"/>
      <c r="BB147" s="82"/>
    </row>
    <row r="148" spans="1:54" ht="15">
      <c r="A148" s="82"/>
      <c r="B148" s="82"/>
      <c r="C148" s="82"/>
      <c r="D148" s="82"/>
      <c r="E148" s="346" t="s">
        <v>717</v>
      </c>
      <c r="F148" s="82"/>
      <c r="G148" s="2" t="s">
        <v>304</v>
      </c>
      <c r="H148" s="82" t="s">
        <v>720</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-3.4488381277305424</v>
      </c>
      <c r="AS148" s="30"/>
      <c r="AT148" s="30"/>
      <c r="AU148" s="30"/>
      <c r="AV148" s="30"/>
      <c r="AW148" s="184"/>
      <c r="AX148" s="184"/>
      <c r="AY148" s="184"/>
      <c r="AZ148" s="184"/>
      <c r="BA148" s="184"/>
      <c r="BB148" s="82"/>
    </row>
    <row r="149" spans="1:54" ht="15">
      <c r="A149" s="82"/>
      <c r="B149" s="82"/>
      <c r="C149" s="82"/>
      <c r="D149" s="82"/>
      <c r="E149" s="346" t="s">
        <v>435</v>
      </c>
      <c r="F149" s="82"/>
      <c r="G149" s="2" t="s">
        <v>304</v>
      </c>
      <c r="H149" s="82" t="s">
        <v>730</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795</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796</v>
      </c>
      <c r="G151" s="2" t="s">
        <v>304</v>
      </c>
      <c r="H151" s="82" t="s">
        <v>797</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3.1821889546497153</v>
      </c>
      <c r="AS151" s="30">
        <f>AS62</f>
        <v>5.3630641647829487</v>
      </c>
      <c r="AT151" s="30"/>
      <c r="AU151" s="30"/>
      <c r="AV151" s="30"/>
      <c r="AW151" s="184"/>
      <c r="AX151" s="184"/>
      <c r="AY151" s="184"/>
      <c r="AZ151" s="184"/>
      <c r="BA151" s="184"/>
      <c r="BB151" s="82"/>
    </row>
    <row r="152" spans="1:54" ht="15">
      <c r="A152" s="82"/>
      <c r="B152" s="82"/>
      <c r="C152" s="82"/>
      <c r="D152" s="82"/>
      <c r="E152" s="346" t="s">
        <v>798</v>
      </c>
      <c r="G152" s="2" t="s">
        <v>304</v>
      </c>
      <c r="H152" s="82" t="s">
        <v>799</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21.569220220556701</v>
      </c>
      <c r="AS152" s="30">
        <f>AS68</f>
        <v>20.828292447534761</v>
      </c>
      <c r="AT152" s="30"/>
      <c r="AU152" s="30"/>
      <c r="AV152" s="30"/>
      <c r="AW152" s="184"/>
      <c r="AX152" s="184"/>
      <c r="AY152" s="184"/>
      <c r="AZ152" s="184"/>
      <c r="BA152" s="184"/>
      <c r="BB152" s="82"/>
    </row>
    <row r="153" spans="1:54" ht="15">
      <c r="A153" s="82"/>
      <c r="B153" s="82"/>
      <c r="C153" s="82"/>
      <c r="D153" s="82"/>
      <c r="E153" s="346" t="s">
        <v>800</v>
      </c>
      <c r="G153" s="2" t="s">
        <v>304</v>
      </c>
      <c r="H153" s="82" t="s">
        <v>801</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749</v>
      </c>
      <c r="G154" s="2" t="s">
        <v>304</v>
      </c>
      <c r="H154" s="82" t="s">
        <v>802</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1.5161063046635705</v>
      </c>
      <c r="AS154" s="30">
        <f>AS79</f>
        <v>1.7225298865842447</v>
      </c>
      <c r="AT154" s="30"/>
      <c r="AU154" s="30"/>
      <c r="AV154" s="30"/>
      <c r="AW154" s="184"/>
      <c r="AX154" s="184"/>
      <c r="AY154" s="184"/>
      <c r="AZ154" s="184"/>
      <c r="BA154" s="184"/>
      <c r="BB154" s="82"/>
    </row>
    <row r="155" spans="1:54" ht="15">
      <c r="A155" s="82"/>
      <c r="B155" s="82"/>
      <c r="C155" s="82"/>
      <c r="D155" s="82"/>
      <c r="E155" s="259" t="s">
        <v>803</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468</v>
      </c>
      <c r="F156" s="82"/>
      <c r="G156" s="2" t="s">
        <v>304</v>
      </c>
      <c r="H156" s="82" t="s">
        <v>756</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1.2522648426184633</v>
      </c>
      <c r="AS156" s="30">
        <f>AS85</f>
        <v>1.0809203615537422</v>
      </c>
      <c r="AT156" s="30"/>
      <c r="AU156" s="30"/>
      <c r="AV156" s="30"/>
      <c r="AW156" s="184"/>
      <c r="AX156" s="184"/>
      <c r="AY156" s="184"/>
      <c r="AZ156" s="184"/>
      <c r="BA156" s="184"/>
      <c r="BB156" s="82"/>
    </row>
    <row r="157" spans="1:54" ht="15">
      <c r="A157" s="82"/>
      <c r="B157" s="82"/>
      <c r="C157" s="82"/>
      <c r="D157" s="82"/>
      <c r="E157" s="346" t="s">
        <v>473</v>
      </c>
      <c r="F157" s="82"/>
      <c r="G157" s="2" t="s">
        <v>304</v>
      </c>
      <c r="H157" s="82" t="s">
        <v>759</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-10.335005980804159</v>
      </c>
      <c r="AS157" s="30">
        <f>AS90</f>
        <v>-15.175625062297629</v>
      </c>
      <c r="AT157" s="30"/>
      <c r="AU157" s="30"/>
      <c r="AV157" s="30"/>
      <c r="AW157" s="184"/>
      <c r="AX157" s="184"/>
      <c r="AY157" s="184"/>
      <c r="AZ157" s="184"/>
      <c r="BA157" s="184"/>
      <c r="BB157" s="82"/>
    </row>
    <row r="158" spans="1:54" ht="15">
      <c r="A158" s="82"/>
      <c r="B158" s="82"/>
      <c r="C158" s="82"/>
      <c r="D158" s="82"/>
      <c r="E158" s="346" t="s">
        <v>478</v>
      </c>
      <c r="F158" s="82"/>
      <c r="G158" s="2" t="s">
        <v>304</v>
      </c>
      <c r="H158" s="82" t="s">
        <v>762</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-14.054122623303202</v>
      </c>
      <c r="AS158" s="30">
        <f>AS95</f>
        <v>-22.347089686777618</v>
      </c>
      <c r="AT158" s="30"/>
      <c r="AU158" s="30"/>
      <c r="AV158" s="30"/>
      <c r="AW158" s="184"/>
      <c r="AX158" s="184"/>
      <c r="AY158" s="184"/>
      <c r="AZ158" s="184"/>
      <c r="BA158" s="184"/>
      <c r="BB158" s="82"/>
    </row>
    <row r="159" spans="1:54" ht="15">
      <c r="A159" s="82"/>
      <c r="B159" s="82"/>
      <c r="C159" s="82"/>
      <c r="D159" s="82"/>
      <c r="E159" s="346" t="s">
        <v>483</v>
      </c>
      <c r="F159" s="82"/>
      <c r="G159" s="2" t="s">
        <v>304</v>
      </c>
      <c r="H159" s="82" t="s">
        <v>765</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3.2847550515420583</v>
      </c>
      <c r="AS159" s="30">
        <f>AS100</f>
        <v>3.3361150371354618</v>
      </c>
      <c r="AT159" s="30"/>
      <c r="AU159" s="30"/>
      <c r="AV159" s="30"/>
      <c r="AW159" s="184"/>
      <c r="AX159" s="184"/>
      <c r="AY159" s="184"/>
      <c r="AZ159" s="184"/>
      <c r="BA159" s="184"/>
      <c r="BB159" s="82"/>
    </row>
    <row r="160" spans="1:54" ht="15">
      <c r="A160" s="82"/>
      <c r="B160" s="82"/>
      <c r="C160" s="82"/>
      <c r="D160" s="82"/>
      <c r="E160" s="346" t="s">
        <v>488</v>
      </c>
      <c r="F160" s="82"/>
      <c r="G160" s="2" t="s">
        <v>304</v>
      </c>
      <c r="H160" s="82" t="s">
        <v>768</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1.1164548540000891</v>
      </c>
      <c r="AS160" s="30">
        <f>AS105</f>
        <v>2.0173530061236686</v>
      </c>
      <c r="AT160" s="30"/>
      <c r="AU160" s="30"/>
      <c r="AV160" s="30"/>
      <c r="AW160" s="184"/>
      <c r="AX160" s="184"/>
      <c r="AY160" s="184"/>
      <c r="AZ160" s="184"/>
      <c r="BA160" s="184"/>
      <c r="BB160" s="82"/>
    </row>
    <row r="161" spans="1:54" ht="15">
      <c r="A161" s="82"/>
      <c r="B161" s="82"/>
      <c r="C161" s="82"/>
      <c r="D161" s="82"/>
      <c r="E161" s="346" t="s">
        <v>804</v>
      </c>
      <c r="F161" s="82"/>
      <c r="G161" s="2" t="s">
        <v>304</v>
      </c>
      <c r="H161" s="82" t="s">
        <v>771</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5">
      <c r="A162" s="82"/>
      <c r="B162" s="82"/>
      <c r="C162" s="82"/>
      <c r="D162" s="82"/>
      <c r="E162" s="346" t="s">
        <v>805</v>
      </c>
      <c r="F162" s="82"/>
      <c r="G162" s="2" t="s">
        <v>304</v>
      </c>
      <c r="H162" s="82" t="s">
        <v>774</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503</v>
      </c>
      <c r="F163" s="82"/>
      <c r="G163" s="2" t="s">
        <v>304</v>
      </c>
      <c r="H163" s="82" t="s">
        <v>777</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508</v>
      </c>
      <c r="F164" s="82"/>
      <c r="G164" s="2" t="s">
        <v>304</v>
      </c>
      <c r="H164" s="82" t="s">
        <v>780</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806</v>
      </c>
      <c r="F165" s="82"/>
      <c r="G165" s="2" t="s">
        <v>304</v>
      </c>
      <c r="H165" s="82" t="s">
        <v>784</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1.105752203125576</v>
      </c>
      <c r="AS165" s="30">
        <f>AS130</f>
        <v>1.8551751888951173</v>
      </c>
      <c r="AT165" s="30"/>
      <c r="AU165" s="30"/>
      <c r="AV165" s="30"/>
      <c r="AW165" s="184"/>
      <c r="AX165" s="184"/>
      <c r="AY165" s="184"/>
      <c r="AZ165" s="184"/>
      <c r="BA165" s="184"/>
      <c r="BB165" s="82"/>
    </row>
    <row r="166" spans="1:54" ht="15">
      <c r="A166" s="82"/>
      <c r="B166" s="82"/>
      <c r="C166" s="82"/>
      <c r="D166" s="82"/>
      <c r="E166" s="346" t="s">
        <v>807</v>
      </c>
      <c r="F166" s="82"/>
      <c r="G166" s="2" t="s">
        <v>304</v>
      </c>
      <c r="H166" s="82" t="s">
        <v>788</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1.1506287792528189</v>
      </c>
      <c r="AS166" s="30">
        <f>AS135</f>
        <v>4.1509199589862948</v>
      </c>
      <c r="AT166" s="30">
        <f>AT135</f>
        <v>0.14460955983552809</v>
      </c>
      <c r="AU166" s="30"/>
      <c r="AV166" s="30"/>
      <c r="AW166" s="184"/>
      <c r="AX166" s="184"/>
      <c r="AY166" s="184"/>
      <c r="AZ166" s="184"/>
      <c r="BA166" s="184"/>
      <c r="BB166" s="82"/>
    </row>
    <row r="167" spans="1:54" ht="15">
      <c r="A167" s="82"/>
      <c r="B167" s="82"/>
      <c r="C167" s="82"/>
      <c r="D167" s="82"/>
      <c r="E167" s="346" t="s">
        <v>808</v>
      </c>
      <c r="F167" s="82"/>
      <c r="G167" s="2" t="s">
        <v>304</v>
      </c>
      <c r="H167" s="82" t="s">
        <v>790</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415" priority="4" operator="equal">
      <formula>FALSE()</formula>
    </cfRule>
  </conditionalFormatting>
  <conditionalFormatting sqref="AM3">
    <cfRule type="expression" dxfId="414" priority="12">
      <formula>$AM$3="OK"</formula>
    </cfRule>
  </conditionalFormatting>
  <conditionalFormatting sqref="AW6:BA6">
    <cfRule type="cellIs" dxfId="413" priority="2" operator="equal">
      <formula>FALSE()</formula>
    </cfRule>
  </conditionalFormatting>
  <conditionalFormatting sqref="AW8:BA167">
    <cfRule type="cellIs" dxfId="412"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809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810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811</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34.645576415086033</v>
      </c>
      <c r="AS12" s="8">
        <f>(InputSummary!AS31 + InputSummary!AS41)</f>
        <v>46.19531514447916</v>
      </c>
      <c r="AT12" s="8">
        <f>(InputSummary!AT31 + InputSummary!AT41)</f>
        <v>41.942429008493598</v>
      </c>
      <c r="AU12" s="8">
        <f>(InputSummary!AU31 + InputSummary!AU41)</f>
        <v>31.947780904282006</v>
      </c>
      <c r="AV12" s="8">
        <f>(InputSummary!AV31 + InputSummary!AV41)</f>
        <v>32.772576676319147</v>
      </c>
      <c r="AW12" s="2"/>
    </row>
    <row r="13" spans="1:49" ht="15">
      <c r="A13" s="2"/>
      <c r="B13" s="2"/>
      <c r="C13" s="2"/>
      <c r="D13" s="2"/>
      <c r="E13" s="7" t="s">
        <v>812</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81.554071288750862</v>
      </c>
      <c r="AS13" s="8">
        <f>(InputSummary!AS32 + InputSummary!AS42)</f>
        <v>83.189287863970407</v>
      </c>
      <c r="AT13" s="8">
        <f>(InputSummary!AT32 + InputSummary!AT42)</f>
        <v>88.751062736748793</v>
      </c>
      <c r="AU13" s="8">
        <f>(InputSummary!AU32 + InputSummary!AU42)</f>
        <v>85.289075646927913</v>
      </c>
      <c r="AV13" s="8">
        <f>(InputSummary!AV32 + InputSummary!AV42)</f>
        <v>82.190743012944708</v>
      </c>
      <c r="AW13" s="2"/>
    </row>
    <row r="14" spans="1:49" ht="15">
      <c r="A14" s="2"/>
      <c r="B14" s="2"/>
      <c r="C14" s="2"/>
      <c r="D14" s="2"/>
      <c r="E14" s="7" t="s">
        <v>813</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45.031244860367572</v>
      </c>
      <c r="AS14" s="8">
        <f>(InputSummary!AS33 + InputSummary!AS43)</f>
        <v>41.328909829697444</v>
      </c>
      <c r="AT14" s="8">
        <f>(InputSummary!AT33 + InputSummary!AT43)</f>
        <v>38.232064914861866</v>
      </c>
      <c r="AU14" s="8">
        <f>(InputSummary!AU33 + InputSummary!AU43)</f>
        <v>28.880373896835032</v>
      </c>
      <c r="AV14" s="8">
        <f>(InputSummary!AV33 + InputSummary!AV43)</f>
        <v>24.083993469147764</v>
      </c>
      <c r="AW14" s="2"/>
    </row>
    <row r="15" spans="1:49" ht="15">
      <c r="A15" s="2"/>
      <c r="B15" s="2"/>
      <c r="C15" s="2"/>
      <c r="D15" s="2"/>
      <c r="E15" s="7" t="s">
        <v>814</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28.3218350373756</v>
      </c>
      <c r="AS15" s="8">
        <f>(InputSummary!AS34 + InputSummary!AS44)</f>
        <v>28.577873168331642</v>
      </c>
      <c r="AT15" s="8">
        <f>(InputSummary!AT34 + InputSummary!AT44)</f>
        <v>29.759732268500763</v>
      </c>
      <c r="AU15" s="8">
        <f>(InputSummary!AU34 + InputSummary!AU44)</f>
        <v>30.608629918634989</v>
      </c>
      <c r="AV15" s="8">
        <f>(InputSummary!AV34 + InputSummary!AV44)</f>
        <v>30.722874028303604</v>
      </c>
      <c r="AW15" s="2"/>
    </row>
    <row r="16" spans="1:49" ht="15">
      <c r="A16" s="2"/>
      <c r="B16" s="2"/>
      <c r="C16" s="2"/>
      <c r="D16" s="2"/>
      <c r="E16" s="7" t="s">
        <v>815</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5.384726662223926</v>
      </c>
      <c r="AS16" s="8">
        <f>(InputSummary!AS35 + InputSummary!AS45)</f>
        <v>5.4250849698983403</v>
      </c>
      <c r="AT16" s="8">
        <f>(InputSummary!AT35 + InputSummary!AT45)</f>
        <v>5.4565052111454095</v>
      </c>
      <c r="AU16" s="8">
        <f>(InputSummary!AU35 + InputSummary!AU45)</f>
        <v>5.3819122148861132</v>
      </c>
      <c r="AV16" s="8">
        <f>(InputSummary!AV35 + InputSummary!AV45)</f>
        <v>5.3501189105689013</v>
      </c>
      <c r="AW16" s="2"/>
    </row>
    <row r="17" spans="1:49" ht="15">
      <c r="A17" s="2"/>
      <c r="B17" s="2"/>
      <c r="C17" s="2"/>
      <c r="D17" s="2"/>
      <c r="E17" s="7" t="s">
        <v>816</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15.27197113346452</v>
      </c>
      <c r="AS17" s="8">
        <f>(InputSummary!AS36 + InputSummary!AS46)</f>
        <v>15.35437983070017</v>
      </c>
      <c r="AT17" s="8">
        <f>(InputSummary!AT36 + InputSummary!AT46)</f>
        <v>15.399791579142594</v>
      </c>
      <c r="AU17" s="8">
        <f>(InputSummary!AU36 + InputSummary!AU46)</f>
        <v>15.208198440824589</v>
      </c>
      <c r="AV17" s="8">
        <f>(InputSummary!AV36 + InputSummary!AV46)</f>
        <v>15.114522575753956</v>
      </c>
      <c r="AW17" s="2"/>
    </row>
    <row r="18" spans="1:49" ht="15">
      <c r="A18" s="2"/>
      <c r="B18" s="2"/>
      <c r="C18" s="2"/>
      <c r="D18" s="2"/>
      <c r="E18" s="7" t="s">
        <v>817</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121.49019261918384</v>
      </c>
      <c r="AS18" s="8">
        <f>(InputSummary!AS37 + InputSummary!AS47)</f>
        <v>121.06229546318707</v>
      </c>
      <c r="AT18" s="8">
        <f>(InputSummary!AT37 + InputSummary!AT47)</f>
        <v>118.70784983685503</v>
      </c>
      <c r="AU18" s="8">
        <f>(InputSummary!AU37 + InputSummary!AU47)</f>
        <v>117.73060907023091</v>
      </c>
      <c r="AV18" s="8">
        <f>(InputSummary!AV37 + InputSummary!AV47)</f>
        <v>117.23519614324064</v>
      </c>
      <c r="AW18" s="2"/>
    </row>
    <row r="19" spans="1:49" ht="15">
      <c r="A19" s="2"/>
      <c r="B19" s="2"/>
      <c r="C19" s="2"/>
      <c r="D19" s="2"/>
      <c r="E19" s="7" t="s">
        <v>818</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331.69961801645235</v>
      </c>
      <c r="AS19" s="431">
        <f t="shared" si="0"/>
        <v>341.13314627026421</v>
      </c>
      <c r="AT19" s="431">
        <f t="shared" si="0"/>
        <v>338.24943555574805</v>
      </c>
      <c r="AU19" s="431">
        <f t="shared" si="0"/>
        <v>315.04658009262153</v>
      </c>
      <c r="AV19" s="431">
        <f t="shared" si="0"/>
        <v>307.47002481627874</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819</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811</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13.675886457475087</v>
      </c>
      <c r="AS23" s="8">
        <f>InputSummary!AS51</f>
        <v>16.326554801999361</v>
      </c>
      <c r="AT23" s="8">
        <f>InputSummary!AT51</f>
        <v>34.739083148252014</v>
      </c>
      <c r="AU23" s="8">
        <f>InputSummary!AU51</f>
        <v>44.031150401452457</v>
      </c>
      <c r="AV23" s="8">
        <f>InputSummary!AV51</f>
        <v>53.566562860618809</v>
      </c>
      <c r="AW23" s="2"/>
    </row>
    <row r="24" spans="1:49" ht="15">
      <c r="A24" s="2"/>
      <c r="B24" s="2"/>
      <c r="C24" s="2"/>
      <c r="D24" s="2"/>
      <c r="E24" s="7" t="s">
        <v>812</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5.3283978029029573</v>
      </c>
      <c r="AS24" s="8">
        <f>InputSummary!AS52</f>
        <v>9.4174192221270534</v>
      </c>
      <c r="AT24" s="8">
        <f>InputSummary!AT52</f>
        <v>13.547138299475733</v>
      </c>
      <c r="AU24" s="8">
        <f>InputSummary!AU52</f>
        <v>13.190733830866995</v>
      </c>
      <c r="AV24" s="8">
        <f>InputSummary!AV52</f>
        <v>13.035180250494065</v>
      </c>
      <c r="AW24" s="2"/>
    </row>
    <row r="25" spans="1:49" ht="15">
      <c r="A25" s="2"/>
      <c r="B25" s="2"/>
      <c r="C25" s="2"/>
      <c r="D25" s="2"/>
      <c r="E25" s="7" t="s">
        <v>813</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6.2</v>
      </c>
      <c r="AS25" s="8">
        <f>InputSummary!AS53</f>
        <v>3.5757591578334003</v>
      </c>
      <c r="AT25" s="8">
        <f>InputSummary!AT53</f>
        <v>2.0931619895870548</v>
      </c>
      <c r="AU25" s="8">
        <f>InputSummary!AU53</f>
        <v>1.6215564051016722</v>
      </c>
      <c r="AV25" s="8">
        <f>InputSummary!AV53</f>
        <v>1.1749211141363789</v>
      </c>
      <c r="AW25" s="2"/>
    </row>
    <row r="26" spans="1:49" ht="15">
      <c r="A26" s="2"/>
      <c r="B26" s="2"/>
      <c r="C26" s="2"/>
      <c r="D26" s="2"/>
      <c r="E26" s="7" t="s">
        <v>814</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3.8956539780320681E-2</v>
      </c>
      <c r="AT26" s="8">
        <f>InputSummary!AT54</f>
        <v>3.5528364279652456</v>
      </c>
      <c r="AU26" s="8">
        <f>InputSummary!AU54</f>
        <v>4.0203149053290943</v>
      </c>
      <c r="AV26" s="8">
        <f>InputSummary!AV54</f>
        <v>12.318057878537399</v>
      </c>
      <c r="AW26" s="2"/>
    </row>
    <row r="27" spans="1:49" ht="15">
      <c r="A27" s="2"/>
      <c r="B27" s="2"/>
      <c r="C27" s="2"/>
      <c r="D27" s="2"/>
      <c r="E27" s="7" t="s">
        <v>815</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816</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817</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6.8359296310805924</v>
      </c>
      <c r="AS29" s="8">
        <f>InputSummary!AS57</f>
        <v>5.3879278508393451</v>
      </c>
      <c r="AT29" s="8">
        <f>InputSummary!AT57</f>
        <v>6.8574644673089402</v>
      </c>
      <c r="AU29" s="8">
        <f>InputSummary!AU57</f>
        <v>7.3412065771710253</v>
      </c>
      <c r="AV29" s="8">
        <f>InputSummary!AV57</f>
        <v>8.0016321212820269</v>
      </c>
      <c r="AW29" s="2"/>
    </row>
    <row r="30" spans="1:49" ht="15">
      <c r="A30" s="2"/>
      <c r="B30" s="2"/>
      <c r="C30" s="2"/>
      <c r="D30" s="2"/>
      <c r="E30" s="7" t="s">
        <v>820</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32.040213891458635</v>
      </c>
      <c r="AS30" s="431">
        <f t="shared" si="1"/>
        <v>34.746617572579481</v>
      </c>
      <c r="AT30" s="431">
        <f t="shared" si="1"/>
        <v>60.78968433258899</v>
      </c>
      <c r="AU30" s="431">
        <f t="shared" si="1"/>
        <v>70.204962119921248</v>
      </c>
      <c r="AV30" s="431">
        <f t="shared" si="1"/>
        <v>88.096354225068694</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821</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822</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48.321462872561121</v>
      </c>
      <c r="AS34" s="2">
        <f t="shared" ref="AS34:AV34" si="2">AS12 + AS23</f>
        <v>62.521869946478517</v>
      </c>
      <c r="AT34" s="2">
        <f t="shared" si="2"/>
        <v>76.681512156745612</v>
      </c>
      <c r="AU34" s="2">
        <f t="shared" si="2"/>
        <v>75.978931305734463</v>
      </c>
      <c r="AV34" s="2">
        <f t="shared" si="2"/>
        <v>86.33913953693795</v>
      </c>
      <c r="AW34" s="2"/>
    </row>
    <row r="35" spans="1:49" ht="15">
      <c r="A35" s="2"/>
      <c r="B35" s="2"/>
      <c r="C35" s="2"/>
      <c r="D35" s="2"/>
      <c r="E35" s="13" t="s">
        <v>823</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86.882469091653817</v>
      </c>
      <c r="AS35" s="2">
        <f t="shared" ref="AS35:AV35" si="4">AS13 + AS24</f>
        <v>92.606707086097458</v>
      </c>
      <c r="AT35" s="2">
        <f t="shared" si="4"/>
        <v>102.29820103622453</v>
      </c>
      <c r="AU35" s="2">
        <f t="shared" si="4"/>
        <v>98.479809477794902</v>
      </c>
      <c r="AV35" s="2">
        <f t="shared" si="4"/>
        <v>95.225923263438773</v>
      </c>
      <c r="AW35" s="2"/>
    </row>
    <row r="36" spans="1:49" ht="15">
      <c r="A36" s="2"/>
      <c r="B36" s="2"/>
      <c r="C36" s="2"/>
      <c r="D36" s="2"/>
      <c r="E36" s="13" t="s">
        <v>824</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51.231244860367575</v>
      </c>
      <c r="AS36" s="2">
        <f t="shared" ref="AS36:AV36" si="6">AS14 + AS25</f>
        <v>44.904668987530847</v>
      </c>
      <c r="AT36" s="2">
        <f t="shared" si="6"/>
        <v>40.325226904448918</v>
      </c>
      <c r="AU36" s="2">
        <f t="shared" si="6"/>
        <v>30.501930301936703</v>
      </c>
      <c r="AV36" s="2">
        <f t="shared" si="6"/>
        <v>25.258914583284142</v>
      </c>
      <c r="AW36" s="2"/>
    </row>
    <row r="37" spans="1:49" ht="15">
      <c r="A37" s="2"/>
      <c r="B37" s="2"/>
      <c r="C37" s="2"/>
      <c r="D37" s="2"/>
      <c r="E37" s="13" t="s">
        <v>825</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28.3218350373756</v>
      </c>
      <c r="AS37" s="2">
        <f t="shared" ref="AS37:AV37" si="8">AS15 + AS26</f>
        <v>28.616829708111965</v>
      </c>
      <c r="AT37" s="2">
        <f t="shared" si="8"/>
        <v>33.312568696466009</v>
      </c>
      <c r="AU37" s="2">
        <f t="shared" si="8"/>
        <v>34.628944823964083</v>
      </c>
      <c r="AV37" s="2">
        <f t="shared" si="8"/>
        <v>43.040931906841003</v>
      </c>
      <c r="AW37" s="2"/>
    </row>
    <row r="38" spans="1:49" ht="15">
      <c r="A38" s="2"/>
      <c r="B38" s="2"/>
      <c r="C38" s="2"/>
      <c r="D38" s="2"/>
      <c r="E38" s="13" t="s">
        <v>826</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5.384726662223926</v>
      </c>
      <c r="AS38" s="2">
        <f t="shared" ref="AS38:AV38" si="10">AS16 + AS27</f>
        <v>5.4250849698983403</v>
      </c>
      <c r="AT38" s="2">
        <f t="shared" si="10"/>
        <v>5.4565052111454095</v>
      </c>
      <c r="AU38" s="2">
        <f t="shared" si="10"/>
        <v>5.3819122148861132</v>
      </c>
      <c r="AV38" s="2">
        <f t="shared" si="10"/>
        <v>5.3501189105689013</v>
      </c>
      <c r="AW38" s="2"/>
    </row>
    <row r="39" spans="1:49" ht="15">
      <c r="A39" s="2"/>
      <c r="B39" s="2"/>
      <c r="C39" s="2"/>
      <c r="D39" s="2"/>
      <c r="E39" s="13" t="s">
        <v>827</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15.27197113346452</v>
      </c>
      <c r="AS39" s="2">
        <f t="shared" ref="AS39:AV39" si="12">AS17 + AS28</f>
        <v>15.35437983070017</v>
      </c>
      <c r="AT39" s="2">
        <f t="shared" si="12"/>
        <v>15.399791579142594</v>
      </c>
      <c r="AU39" s="2">
        <f t="shared" si="12"/>
        <v>15.208198440824589</v>
      </c>
      <c r="AV39" s="2">
        <f t="shared" si="12"/>
        <v>15.114522575753956</v>
      </c>
      <c r="AW39" s="2"/>
    </row>
    <row r="40" spans="1:49" ht="15">
      <c r="A40" s="2"/>
      <c r="B40" s="2"/>
      <c r="C40" s="2"/>
      <c r="D40" s="2"/>
      <c r="E40" s="13" t="s">
        <v>828</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128.32612225026443</v>
      </c>
      <c r="AS40" s="2">
        <f t="shared" ref="AS40:AV40" si="14">AS18 + AS29</f>
        <v>126.45022331402642</v>
      </c>
      <c r="AT40" s="2">
        <f t="shared" si="14"/>
        <v>125.56531430416398</v>
      </c>
      <c r="AU40" s="2">
        <f t="shared" si="14"/>
        <v>125.07181564740193</v>
      </c>
      <c r="AV40" s="2">
        <f t="shared" si="14"/>
        <v>125.23682826452267</v>
      </c>
      <c r="AW40" s="2"/>
    </row>
    <row r="41" spans="1:49" ht="15">
      <c r="A41" s="2"/>
      <c r="B41" s="2"/>
      <c r="C41" s="2"/>
      <c r="D41" s="2"/>
      <c r="E41" s="2" t="s">
        <v>829</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363.73983190791103</v>
      </c>
      <c r="AS41" s="432">
        <f t="shared" ref="AS41:AV41" si="16">SUM(AS34:AS40)</f>
        <v>375.87976384284372</v>
      </c>
      <c r="AT41" s="432">
        <f t="shared" si="16"/>
        <v>399.03911988833698</v>
      </c>
      <c r="AU41" s="432">
        <f t="shared" si="16"/>
        <v>385.2515422125428</v>
      </c>
      <c r="AV41" s="432">
        <f t="shared" si="16"/>
        <v>395.56637904134737</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830</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831</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832</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129</v>
      </c>
      <c r="G51" s="2" t="s">
        <v>105</v>
      </c>
      <c r="AJ51" s="8"/>
      <c r="AK51" s="8"/>
      <c r="AL51" s="8"/>
      <c r="AM51" s="8"/>
      <c r="AN51" s="8"/>
      <c r="AO51" s="8"/>
      <c r="AP51" s="8"/>
      <c r="AQ51" s="9"/>
      <c r="AR51" s="8">
        <f>(InputSummary!AR61 *  AR$49 + AR12 *  (1-AR$49))</f>
        <v>24.749470504918811</v>
      </c>
      <c r="AS51" s="8">
        <f>(InputSummary!AS61 *  AS$49 + AS12 *  (1-AS$49))</f>
        <v>56.218596179455034</v>
      </c>
      <c r="AT51" s="8">
        <f>(InputSummary!AT61 *  AT$49 + AT12 *  (1-AT$49))</f>
        <v>41.975765863528736</v>
      </c>
      <c r="AU51" s="8">
        <f>(InputSummary!AU61 *  AU$49 + AU12 *  (1-AU$49))</f>
        <v>31.870564315112517</v>
      </c>
      <c r="AV51" s="8">
        <f>(InputSummary!AV61 *  AV$49 + AV12 *  (1-AV$49))</f>
        <v>32.705033768168164</v>
      </c>
    </row>
    <row r="52" spans="1:49" ht="15">
      <c r="E52" s="7" t="s">
        <v>131</v>
      </c>
      <c r="G52" s="2" t="s">
        <v>105</v>
      </c>
      <c r="AJ52" s="8"/>
      <c r="AK52" s="8"/>
      <c r="AL52" s="8"/>
      <c r="AM52" s="8"/>
      <c r="AN52" s="8"/>
      <c r="AO52" s="8"/>
      <c r="AP52" s="8"/>
      <c r="AQ52" s="9"/>
      <c r="AR52" s="8">
        <f>(InputSummary!AR62 *  AR$49 + AR13 *  (1-AR$49))</f>
        <v>61.571399470284348</v>
      </c>
      <c r="AS52" s="8">
        <f>(InputSummary!AS62 *  AS$49 + AS13 *  (1-AS$49))</f>
        <v>77.627001789921152</v>
      </c>
      <c r="AT52" s="8">
        <f>(InputSummary!AT62 *  AT$49 + AT13 *  (1-AT$49))</f>
        <v>89.13515767610177</v>
      </c>
      <c r="AU52" s="8">
        <f>(InputSummary!AU62 *  AU$49 + AU13 *  (1-AU$49))</f>
        <v>97.554682164373958</v>
      </c>
      <c r="AV52" s="8">
        <f>(InputSummary!AV62 *  AV$49 + AV13 *  (1-AV$49))</f>
        <v>93.814685979993811</v>
      </c>
    </row>
    <row r="53" spans="1:49" ht="15">
      <c r="E53" s="7" t="s">
        <v>133</v>
      </c>
      <c r="G53" s="2" t="s">
        <v>105</v>
      </c>
      <c r="AJ53" s="8"/>
      <c r="AK53" s="8"/>
      <c r="AL53" s="8"/>
      <c r="AM53" s="8"/>
      <c r="AN53" s="8"/>
      <c r="AO53" s="8"/>
      <c r="AP53" s="8"/>
      <c r="AQ53" s="9"/>
      <c r="AR53" s="8">
        <f>(InputSummary!AR63 *  AR$49 + AR14 *  (1-AR$49))</f>
        <v>34.996172735871681</v>
      </c>
      <c r="AS53" s="8">
        <f>(InputSummary!AS63 *  AS$49 + AS14 *  (1-AS$49))</f>
        <v>38.843885299746688</v>
      </c>
      <c r="AT53" s="8">
        <f>(InputSummary!AT63 *  AT$49 + AT14 *  (1-AT$49))</f>
        <v>38.558717256420906</v>
      </c>
      <c r="AU53" s="8">
        <f>(InputSummary!AU63 *  AU$49 + AU14 *  (1-AU$49))</f>
        <v>31.211406685727638</v>
      </c>
      <c r="AV53" s="8">
        <f>(InputSummary!AV63 *  AV$49 + AV14 *  (1-AV$49))</f>
        <v>26.127254339102397</v>
      </c>
    </row>
    <row r="54" spans="1:49" ht="15">
      <c r="E54" s="7" t="s">
        <v>135</v>
      </c>
      <c r="G54" s="2" t="s">
        <v>105</v>
      </c>
      <c r="AJ54" s="8"/>
      <c r="AK54" s="8"/>
      <c r="AL54" s="8"/>
      <c r="AM54" s="8"/>
      <c r="AN54" s="8"/>
      <c r="AO54" s="8"/>
      <c r="AP54" s="8"/>
      <c r="AQ54" s="9"/>
      <c r="AR54" s="8">
        <f>(InputSummary!AR64 *  AR$49 + AR15 *  (1-AR$49))</f>
        <v>28.902803686529925</v>
      </c>
      <c r="AS54" s="8">
        <f>(InputSummary!AS64 *  AS$49 + AS15 *  (1-AS$49))</f>
        <v>29.143169208271821</v>
      </c>
      <c r="AT54" s="8">
        <f>(InputSummary!AT64 *  AT$49 + AT15 *  (1-AT$49))</f>
        <v>30.348755187720009</v>
      </c>
      <c r="AU54" s="8">
        <f>(InputSummary!AU64 *  AU$49 + AU15 *  (1-AU$49))</f>
        <v>31.266603040578239</v>
      </c>
      <c r="AV54" s="8">
        <f>(InputSummary!AV64 *  AV$49 + AV15 *  (1-AV$49))</f>
        <v>31.427628083482336</v>
      </c>
    </row>
    <row r="55" spans="1:49" ht="15">
      <c r="E55" s="7" t="s">
        <v>137</v>
      </c>
      <c r="G55" s="2" t="s">
        <v>105</v>
      </c>
      <c r="AJ55" s="8"/>
      <c r="AK55" s="8"/>
      <c r="AL55" s="8"/>
      <c r="AM55" s="8"/>
      <c r="AN55" s="8"/>
      <c r="AO55" s="8"/>
      <c r="AP55" s="8"/>
      <c r="AQ55" s="9"/>
      <c r="AR55" s="8">
        <f>(InputSummary!AR65 *  AR$49 + AR16 *  (1-AR$49))</f>
        <v>5.4933536209762854</v>
      </c>
      <c r="AS55" s="8">
        <f>(InputSummary!AS65 *  AS$49 + AS16 *  (1-AS$49))</f>
        <v>5.5344202968291825</v>
      </c>
      <c r="AT55" s="8">
        <f>(InputSummary!AT65 *  AT$49 + AT16 *  (1-AT$49))</f>
        <v>5.5691940758123835</v>
      </c>
      <c r="AU55" s="8">
        <f>(InputSummary!AU65 *  AU$49 + AU16 *  (1-AU$49))</f>
        <v>5.4951738695044305</v>
      </c>
      <c r="AV55" s="8">
        <f>(InputSummary!AV65 *  AV$49 + AV16 *  (1-AV$49))</f>
        <v>5.4611675950459775</v>
      </c>
    </row>
    <row r="56" spans="1:49" ht="15">
      <c r="E56" s="7" t="s">
        <v>139</v>
      </c>
      <c r="G56" s="2" t="s">
        <v>105</v>
      </c>
      <c r="AJ56" s="8"/>
      <c r="AK56" s="8"/>
      <c r="AL56" s="8"/>
      <c r="AM56" s="8"/>
      <c r="AN56" s="8"/>
      <c r="AO56" s="8"/>
      <c r="AP56" s="8"/>
      <c r="AQ56" s="9"/>
      <c r="AR56" s="8">
        <f>(InputSummary!AR66 *  AR$49 + AR17 *  (1-AR$49))</f>
        <v>14.548204838695739</v>
      </c>
      <c r="AS56" s="8">
        <f>(InputSummary!AS66 *  AS$49 + AS17 *  (1-AS$49))</f>
        <v>15.268458777090785</v>
      </c>
      <c r="AT56" s="8">
        <f>(InputSummary!AT66 *  AT$49 + AT17 *  (1-AT$49))</f>
        <v>15.469376571377039</v>
      </c>
      <c r="AU56" s="8">
        <f>(InputSummary!AU66 *  AU$49 + AU17 *  (1-AU$49))</f>
        <v>15.583631272058838</v>
      </c>
      <c r="AV56" s="8">
        <f>(InputSummary!AV66 *  AV$49 + AV17 *  (1-AV$49))</f>
        <v>15.587255036858997</v>
      </c>
    </row>
    <row r="57" spans="1:49" ht="15">
      <c r="E57" s="7" t="s">
        <v>141</v>
      </c>
      <c r="G57" s="2" t="s">
        <v>105</v>
      </c>
      <c r="AJ57" s="8"/>
      <c r="AK57" s="8"/>
      <c r="AL57" s="8"/>
      <c r="AM57" s="8"/>
      <c r="AN57" s="8"/>
      <c r="AO57" s="8"/>
      <c r="AP57" s="8"/>
      <c r="AQ57" s="9"/>
      <c r="AR57" s="8">
        <f>(InputSummary!AR67 *  AR$49 + AR18 *  (1-AR$49))</f>
        <v>117.9379716643452</v>
      </c>
      <c r="AS57" s="8">
        <f>(InputSummary!AS67 *  AS$49 + AS18 *  (1-AS$49))</f>
        <v>117.7610772905749</v>
      </c>
      <c r="AT57" s="8">
        <f>(InputSummary!AT67 *  AT$49 + AT18 *  (1-AT$49))</f>
        <v>119.3093587107489</v>
      </c>
      <c r="AU57" s="8">
        <f>(InputSummary!AU67 *  AU$49 + AU18 *  (1-AU$49))</f>
        <v>119.48930737611947</v>
      </c>
      <c r="AV57" s="8">
        <f>(InputSummary!AV67 *  AV$49 + AV18 *  (1-AV$49))</f>
        <v>120.09616618132007</v>
      </c>
    </row>
    <row r="58" spans="1:49" ht="15">
      <c r="A58" s="2"/>
      <c r="B58" s="2"/>
      <c r="C58" s="2"/>
      <c r="D58" s="2"/>
      <c r="E58" s="7" t="s">
        <v>833</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288.19937652162196</v>
      </c>
      <c r="AS58" s="431">
        <f t="shared" si="17"/>
        <v>340.39660884188953</v>
      </c>
      <c r="AT58" s="431">
        <f t="shared" si="17"/>
        <v>340.36632534170974</v>
      </c>
      <c r="AU58" s="431">
        <f t="shared" si="17"/>
        <v>332.47136872347511</v>
      </c>
      <c r="AV58" s="431">
        <f t="shared" si="17"/>
        <v>325.21919098397177</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834</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832</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129</v>
      </c>
      <c r="G64" s="2" t="s">
        <v>105</v>
      </c>
      <c r="AJ64" s="8"/>
      <c r="AK64" s="8"/>
      <c r="AL64" s="8"/>
      <c r="AM64" s="8"/>
      <c r="AN64" s="8"/>
      <c r="AO64" s="8"/>
      <c r="AP64" s="8"/>
      <c r="AQ64" s="9"/>
      <c r="AR64" s="8">
        <f>((InputSummary!AR72)*  AR$62 + AR23 *  (1-AR$62))</f>
        <v>14.680947141749266</v>
      </c>
      <c r="AS64" s="8">
        <f>((InputSummary!AS72)*  AS$62 + AS23 *  (1-AS$62))</f>
        <v>17.32433129465927</v>
      </c>
      <c r="AT64" s="8">
        <f>((InputSummary!AT72)*  AT$62 + AT23 *  (1-AT$62))</f>
        <v>35.703708871658762</v>
      </c>
      <c r="AU64" s="8">
        <f>((InputSummary!AU72)*  AU$62 + AU23 *  (1-AU$62))</f>
        <v>45.084420276836113</v>
      </c>
      <c r="AV64" s="8">
        <f>((InputSummary!AV72)*  AV$62 + AV23 *  (1-AV$62))</f>
        <v>54.686707130714382</v>
      </c>
    </row>
    <row r="65" spans="1:49" ht="15">
      <c r="E65" s="7" t="s">
        <v>131</v>
      </c>
      <c r="G65" s="2" t="s">
        <v>105</v>
      </c>
      <c r="AJ65" s="8"/>
      <c r="AK65" s="8"/>
      <c r="AL65" s="8"/>
      <c r="AM65" s="8"/>
      <c r="AN65" s="8"/>
      <c r="AO65" s="8"/>
      <c r="AP65" s="8"/>
      <c r="AQ65" s="9"/>
      <c r="AR65" s="8">
        <f>((InputSummary!AR73)*  AR$62 + AR24 *  (1-AR$62))</f>
        <v>4.7505189151546565</v>
      </c>
      <c r="AS65" s="8">
        <f>((InputSummary!AS73)*  AS$62 + AS24 *  (1-AS$62))</f>
        <v>8.381396778207499</v>
      </c>
      <c r="AT65" s="8">
        <f>((InputSummary!AT73)*  AT$62 + AT24 *  (1-AT$62))</f>
        <v>12.336862423013248</v>
      </c>
      <c r="AU65" s="8">
        <f>((InputSummary!AU73)*  AU$62 + AU24 *  (1-AU$62))</f>
        <v>11.577874525915727</v>
      </c>
      <c r="AV65" s="8">
        <f>((InputSummary!AV73)*  AV$62 + AV24 *  (1-AV$62))</f>
        <v>11.25516331138849</v>
      </c>
    </row>
    <row r="66" spans="1:49" ht="15">
      <c r="E66" s="7" t="s">
        <v>133</v>
      </c>
      <c r="G66" s="2" t="s">
        <v>105</v>
      </c>
      <c r="AJ66" s="8"/>
      <c r="AK66" s="8"/>
      <c r="AL66" s="8"/>
      <c r="AM66" s="8"/>
      <c r="AN66" s="8"/>
      <c r="AO66" s="8"/>
      <c r="AP66" s="8"/>
      <c r="AQ66" s="9"/>
      <c r="AR66" s="8">
        <f>((InputSummary!AR74)*  AR$62 + AR25 *  (1-AR$62))</f>
        <v>6.2</v>
      </c>
      <c r="AS66" s="8">
        <f>((InputSummary!AS74)*  AS$62 + AS25 *  (1-AS$62))</f>
        <v>3.5757591578334003</v>
      </c>
      <c r="AT66" s="8">
        <f>((InputSummary!AT74)*  AT$62 + AT25 *  (1-AT$62))</f>
        <v>2.0931619895870548</v>
      </c>
      <c r="AU66" s="8">
        <f>((InputSummary!AU74)*  AU$62 + AU25 *  (1-AU$62))</f>
        <v>1.6215564051016722</v>
      </c>
      <c r="AV66" s="8">
        <f>((InputSummary!AV74)*  AV$62 + AV25 *  (1-AV$62))</f>
        <v>1.1749211141363789</v>
      </c>
    </row>
    <row r="67" spans="1:49" ht="15">
      <c r="E67" s="7" t="s">
        <v>135</v>
      </c>
      <c r="G67" s="2" t="s">
        <v>105</v>
      </c>
      <c r="AJ67" s="8"/>
      <c r="AK67" s="8"/>
      <c r="AL67" s="8"/>
      <c r="AM67" s="8"/>
      <c r="AN67" s="8"/>
      <c r="AO67" s="8"/>
      <c r="AP67" s="8"/>
      <c r="AQ67" s="9"/>
      <c r="AR67" s="8">
        <f>((InputSummary!AR75)*  AR$62 + AR26 *  (1-AR$62))</f>
        <v>0</v>
      </c>
      <c r="AS67" s="8">
        <f>((InputSummary!AS75)*  AS$62 + AS26 *  (1-AS$62))</f>
        <v>3.8956539780320681E-2</v>
      </c>
      <c r="AT67" s="8">
        <f>((InputSummary!AT75)*  AT$62 + AT26 *  (1-AT$62))</f>
        <v>3.5528364279652456</v>
      </c>
      <c r="AU67" s="8">
        <f>((InputSummary!AU75)*  AU$62 + AU26 *  (1-AU$62))</f>
        <v>4.0203149053290943</v>
      </c>
      <c r="AV67" s="8">
        <f>((InputSummary!AV75)*  AV$62 + AV26 *  (1-AV$62))</f>
        <v>12.318057878537399</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5.9228182034741224</v>
      </c>
      <c r="AS70" s="8">
        <f>((InputSummary!AS78)*  AS$62 + AS29 *  (1-AS$62))</f>
        <v>4.6640051090930461</v>
      </c>
      <c r="AT70" s="8">
        <f>((InputSummary!AT78)*  AT$62 + AT29 *  (1-AT$62))</f>
        <v>4.367430530677245</v>
      </c>
      <c r="AU70" s="8">
        <f>((InputSummary!AU78)*  AU$62 + AU29 *  (1-AU$62))</f>
        <v>4.1697642227037326</v>
      </c>
      <c r="AV70" s="8">
        <f>((InputSummary!AV78)*  AV$62 + AV29 *  (1-AV$62))</f>
        <v>3.923412171180833</v>
      </c>
    </row>
    <row r="71" spans="1:49" ht="15">
      <c r="A71" s="2"/>
      <c r="B71" s="2"/>
      <c r="C71" s="2"/>
      <c r="D71" s="2"/>
      <c r="E71" s="7" t="s">
        <v>835</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31.554284260378044</v>
      </c>
      <c r="AS71" s="431">
        <f t="shared" si="18"/>
        <v>33.984448879573534</v>
      </c>
      <c r="AT71" s="431">
        <f t="shared" si="18"/>
        <v>58.054000242901552</v>
      </c>
      <c r="AU71" s="431">
        <f t="shared" si="18"/>
        <v>66.473930335886337</v>
      </c>
      <c r="AV71" s="431">
        <f t="shared" si="18"/>
        <v>83.35826160595748</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836</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837</v>
      </c>
      <c r="G75" s="2" t="s">
        <v>105</v>
      </c>
      <c r="AJ75" s="7"/>
      <c r="AK75" s="7"/>
      <c r="AL75" s="7"/>
      <c r="AM75" s="7"/>
      <c r="AN75" s="7"/>
      <c r="AO75" s="7"/>
      <c r="AP75" s="7"/>
      <c r="AQ75" s="65"/>
      <c r="AR75" s="7">
        <f>AR51+AR64</f>
        <v>39.430417646668076</v>
      </c>
      <c r="AS75" s="7">
        <f t="shared" ref="AS75:AV75" si="19">AS51+AS64</f>
        <v>73.542927474114308</v>
      </c>
      <c r="AT75" s="7">
        <f t="shared" si="19"/>
        <v>77.679474735187497</v>
      </c>
      <c r="AU75" s="7">
        <f t="shared" si="19"/>
        <v>76.95498459194863</v>
      </c>
      <c r="AV75" s="7">
        <f t="shared" si="19"/>
        <v>87.391740898882546</v>
      </c>
    </row>
    <row r="76" spans="1:49" ht="15">
      <c r="E76" s="7" t="s">
        <v>838</v>
      </c>
      <c r="G76" s="2" t="s">
        <v>105</v>
      </c>
      <c r="AJ76" s="7"/>
      <c r="AK76" s="7"/>
      <c r="AL76" s="7"/>
      <c r="AM76" s="7"/>
      <c r="AN76" s="7"/>
      <c r="AO76" s="7"/>
      <c r="AP76" s="7"/>
      <c r="AQ76" s="65"/>
      <c r="AR76" s="7">
        <f t="shared" ref="AR76" si="20">AR52+AR65</f>
        <v>66.321918385439005</v>
      </c>
      <c r="AS76" s="7">
        <f t="shared" ref="AS76:AV76" si="21">AS52+AS65</f>
        <v>86.008398568128655</v>
      </c>
      <c r="AT76" s="7">
        <f t="shared" si="21"/>
        <v>101.47202009911501</v>
      </c>
      <c r="AU76" s="7">
        <f t="shared" si="21"/>
        <v>109.13255669028969</v>
      </c>
      <c r="AV76" s="7">
        <f t="shared" si="21"/>
        <v>105.0698492913823</v>
      </c>
    </row>
    <row r="77" spans="1:49" ht="15">
      <c r="E77" s="7" t="s">
        <v>839</v>
      </c>
      <c r="G77" s="2" t="s">
        <v>105</v>
      </c>
      <c r="AJ77" s="7"/>
      <c r="AK77" s="7"/>
      <c r="AL77" s="7"/>
      <c r="AM77" s="7"/>
      <c r="AN77" s="7"/>
      <c r="AO77" s="7"/>
      <c r="AP77" s="7"/>
      <c r="AQ77" s="65"/>
      <c r="AR77" s="7">
        <f t="shared" ref="AR77" si="22">AR53+AR66</f>
        <v>41.196172735871684</v>
      </c>
      <c r="AS77" s="7">
        <f t="shared" ref="AS77:AV77" si="23">AS53+AS66</f>
        <v>42.419644457580091</v>
      </c>
      <c r="AT77" s="7">
        <f t="shared" si="23"/>
        <v>40.651879246007958</v>
      </c>
      <c r="AU77" s="7">
        <f t="shared" si="23"/>
        <v>32.83296309082931</v>
      </c>
      <c r="AV77" s="7">
        <f t="shared" si="23"/>
        <v>27.302175453238775</v>
      </c>
    </row>
    <row r="78" spans="1:49" ht="15">
      <c r="E78" s="7" t="s">
        <v>840</v>
      </c>
      <c r="G78" s="2" t="s">
        <v>105</v>
      </c>
      <c r="AJ78" s="7"/>
      <c r="AK78" s="7"/>
      <c r="AL78" s="7"/>
      <c r="AM78" s="7"/>
      <c r="AN78" s="7"/>
      <c r="AO78" s="7"/>
      <c r="AP78" s="7"/>
      <c r="AQ78" s="65"/>
      <c r="AR78" s="7">
        <f t="shared" ref="AR78" si="24">AR54+AR67</f>
        <v>28.902803686529925</v>
      </c>
      <c r="AS78" s="7">
        <f t="shared" ref="AS78:AV78" si="25">AS54+AS67</f>
        <v>29.182125748052144</v>
      </c>
      <c r="AT78" s="7">
        <f t="shared" si="25"/>
        <v>33.901591615685255</v>
      </c>
      <c r="AU78" s="7">
        <f t="shared" si="25"/>
        <v>35.286917945907334</v>
      </c>
      <c r="AV78" s="7">
        <f t="shared" si="25"/>
        <v>43.745685962019735</v>
      </c>
    </row>
    <row r="79" spans="1:49" ht="15">
      <c r="E79" s="7" t="s">
        <v>841</v>
      </c>
      <c r="G79" s="2" t="s">
        <v>105</v>
      </c>
      <c r="AJ79" s="7"/>
      <c r="AK79" s="7"/>
      <c r="AL79" s="7"/>
      <c r="AM79" s="7"/>
      <c r="AN79" s="7"/>
      <c r="AO79" s="7"/>
      <c r="AP79" s="7"/>
      <c r="AQ79" s="65"/>
      <c r="AR79" s="7">
        <f t="shared" ref="AR79" si="26">AR55+AR68</f>
        <v>5.4933536209762854</v>
      </c>
      <c r="AS79" s="7">
        <f t="shared" ref="AS79:AV79" si="27">AS55+AS68</f>
        <v>5.5344202968291825</v>
      </c>
      <c r="AT79" s="7">
        <f t="shared" si="27"/>
        <v>5.5691940758123835</v>
      </c>
      <c r="AU79" s="7">
        <f t="shared" si="27"/>
        <v>5.4951738695044305</v>
      </c>
      <c r="AV79" s="7">
        <f t="shared" si="27"/>
        <v>5.4611675950459775</v>
      </c>
    </row>
    <row r="80" spans="1:49" ht="15">
      <c r="E80" s="7" t="s">
        <v>842</v>
      </c>
      <c r="G80" s="2" t="s">
        <v>105</v>
      </c>
      <c r="AJ80" s="7"/>
      <c r="AK80" s="7"/>
      <c r="AL80" s="7"/>
      <c r="AM80" s="7"/>
      <c r="AN80" s="7"/>
      <c r="AO80" s="7"/>
      <c r="AP80" s="7"/>
      <c r="AQ80" s="65"/>
      <c r="AR80" s="7">
        <f t="shared" ref="AR80" si="28">AR56+AR69</f>
        <v>14.548204838695739</v>
      </c>
      <c r="AS80" s="7">
        <f t="shared" ref="AS80:AV80" si="29">AS56+AS69</f>
        <v>15.268458777090785</v>
      </c>
      <c r="AT80" s="7">
        <f t="shared" si="29"/>
        <v>15.469376571377039</v>
      </c>
      <c r="AU80" s="7">
        <f t="shared" si="29"/>
        <v>15.583631272058838</v>
      </c>
      <c r="AV80" s="7">
        <f t="shared" si="29"/>
        <v>15.587255036858997</v>
      </c>
    </row>
    <row r="81" spans="2:49" ht="15">
      <c r="E81" s="7" t="s">
        <v>843</v>
      </c>
      <c r="G81" s="2" t="s">
        <v>105</v>
      </c>
      <c r="AJ81" s="7"/>
      <c r="AK81" s="7"/>
      <c r="AL81" s="7"/>
      <c r="AM81" s="7"/>
      <c r="AN81" s="7"/>
      <c r="AO81" s="7"/>
      <c r="AP81" s="7"/>
      <c r="AQ81" s="65"/>
      <c r="AR81" s="7">
        <f t="shared" ref="AR81" si="30">AR57+AR70</f>
        <v>123.86078986781932</v>
      </c>
      <c r="AS81" s="7">
        <f t="shared" ref="AS81:AV81" si="31">AS57+AS70</f>
        <v>122.42508239966794</v>
      </c>
      <c r="AT81" s="7">
        <f t="shared" si="31"/>
        <v>123.67678924142614</v>
      </c>
      <c r="AU81" s="7">
        <f t="shared" si="31"/>
        <v>123.6590715988232</v>
      </c>
      <c r="AV81" s="7">
        <f t="shared" si="31"/>
        <v>124.0195783525009</v>
      </c>
    </row>
    <row r="82" spans="2:49" ht="15">
      <c r="E82" s="13" t="s">
        <v>844</v>
      </c>
      <c r="G82" s="2" t="s">
        <v>105</v>
      </c>
      <c r="AJ82" s="432"/>
      <c r="AK82" s="432"/>
      <c r="AL82" s="432"/>
      <c r="AM82" s="432"/>
      <c r="AN82" s="432"/>
      <c r="AO82" s="432"/>
      <c r="AP82" s="432"/>
      <c r="AQ82" s="534"/>
      <c r="AR82" s="432">
        <f t="shared" ref="AR82" si="32">SUM(AR75:AR81)</f>
        <v>319.753660782</v>
      </c>
      <c r="AS82" s="432">
        <f t="shared" ref="AS82:AV82" si="33">SUM(AS75:AS81)</f>
        <v>374.38105772146315</v>
      </c>
      <c r="AT82" s="432">
        <f t="shared" si="33"/>
        <v>398.42032558461131</v>
      </c>
      <c r="AU82" s="432">
        <f t="shared" si="33"/>
        <v>398.94529905936145</v>
      </c>
      <c r="AV82" s="432">
        <f t="shared" si="33"/>
        <v>408.57745258992929</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411" priority="6" operator="equal">
      <formula>FALSE()</formula>
    </cfRule>
  </conditionalFormatting>
  <conditionalFormatting sqref="AM3">
    <cfRule type="expression" dxfId="41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activeCell="AM12" sqref="AM12"/>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845</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846</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847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848</v>
      </c>
      <c r="F10" s="2"/>
      <c r="G10" s="2" t="s">
        <v>209</v>
      </c>
      <c r="H10" s="2"/>
      <c r="I10" s="302">
        <f>InputSummary!I212</f>
        <v>0.49399999999999999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849</v>
      </c>
      <c r="F11" s="2"/>
      <c r="G11" s="2" t="s">
        <v>209</v>
      </c>
      <c r="H11" s="2"/>
      <c r="I11" s="303">
        <f>1-I10</f>
        <v>0.50600000000000001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288.19937652162196</v>
      </c>
      <c r="AS13" s="8">
        <f>Totex!AS58</f>
        <v>340.39660884188953</v>
      </c>
      <c r="AT13" s="8">
        <f>Totex!AT58</f>
        <v>340.36632534170974</v>
      </c>
      <c r="AU13" s="8">
        <f>Totex!AU58</f>
        <v>332.47136872347511</v>
      </c>
      <c r="AV13" s="8">
        <f>Totex!AV58</f>
        <v>325.21919098397177</v>
      </c>
      <c r="AW13" s="2"/>
    </row>
    <row r="14" spans="1:49" ht="15">
      <c r="A14" s="2"/>
      <c r="B14" s="2"/>
      <c r="C14" s="2"/>
      <c r="D14" s="2"/>
      <c r="E14" s="2" t="s">
        <v>850</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-331.69961801645235</v>
      </c>
      <c r="AS14" s="8">
        <f>- Totex!AS19</f>
        <v>-341.13314627026421</v>
      </c>
      <c r="AT14" s="8">
        <f>- Totex!AT19</f>
        <v>-338.24943555574805</v>
      </c>
      <c r="AU14" s="8">
        <f>- Totex!AU19</f>
        <v>-315.04658009262153</v>
      </c>
      <c r="AV14" s="8">
        <f>- Totex!AV19</f>
        <v>-307.47002481627874</v>
      </c>
      <c r="AW14" s="2"/>
    </row>
    <row r="15" spans="1:49" ht="15">
      <c r="A15" s="2"/>
      <c r="B15" s="2"/>
      <c r="C15" s="2"/>
      <c r="D15" s="2"/>
      <c r="E15" s="2" t="s">
        <v>851</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-43.500241494830391</v>
      </c>
      <c r="AS15" s="432">
        <f t="shared" si="0"/>
        <v>-0.73653742837467462</v>
      </c>
      <c r="AT15" s="432">
        <f t="shared" si="0"/>
        <v>2.1168897859616891</v>
      </c>
      <c r="AU15" s="432">
        <f t="shared" si="0"/>
        <v>17.424788630853584</v>
      </c>
      <c r="AV15" s="432">
        <f t="shared" si="0"/>
        <v>17.749166167693033</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849</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0.50600000000000001</v>
      </c>
      <c r="AS17" s="210">
        <f t="shared" ref="AS17:AV17" si="1">$I11</f>
        <v>0.50600000000000001</v>
      </c>
      <c r="AT17" s="210">
        <f t="shared" si="1"/>
        <v>0.50600000000000001</v>
      </c>
      <c r="AU17" s="210">
        <f t="shared" si="1"/>
        <v>0.50600000000000001</v>
      </c>
      <c r="AV17" s="210">
        <f t="shared" si="1"/>
        <v>0.50600000000000001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852</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-22.011122196384179</v>
      </c>
      <c r="AS19" s="464">
        <f t="shared" si="2"/>
        <v>-0.37268793875758538</v>
      </c>
      <c r="AT19" s="464">
        <f t="shared" si="2"/>
        <v>1.0711462316966147</v>
      </c>
      <c r="AU19" s="464">
        <f t="shared" si="2"/>
        <v>8.8169430472119128</v>
      </c>
      <c r="AV19" s="464">
        <f t="shared" si="2"/>
        <v>8.9810780808526758</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853</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848</v>
      </c>
      <c r="F23" s="2"/>
      <c r="G23" s="2" t="s">
        <v>209</v>
      </c>
      <c r="H23" s="2"/>
      <c r="I23" s="303">
        <f>I10</f>
        <v>0.49399999999999999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849</v>
      </c>
      <c r="F24" s="2"/>
      <c r="G24" s="2" t="s">
        <v>209</v>
      </c>
      <c r="H24" s="2"/>
      <c r="I24" s="303">
        <f>1-I23</f>
        <v>0.50600000000000001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31.554284260378044</v>
      </c>
      <c r="AS26" s="8">
        <f>Totex!AS71</f>
        <v>33.984448879573534</v>
      </c>
      <c r="AT26" s="8">
        <f>Totex!AT71</f>
        <v>58.054000242901552</v>
      </c>
      <c r="AU26" s="8">
        <f>Totex!AU71</f>
        <v>66.473930335886337</v>
      </c>
      <c r="AV26" s="8">
        <f>Totex!AV71</f>
        <v>83.35826160595748</v>
      </c>
      <c r="AW26" s="2"/>
    </row>
    <row r="27" spans="1:49" ht="15">
      <c r="A27" s="2"/>
      <c r="B27" s="2"/>
      <c r="C27" s="2"/>
      <c r="D27" s="2"/>
      <c r="E27" s="2" t="s">
        <v>850</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-32.040213891458635</v>
      </c>
      <c r="AS27" s="8">
        <f>- Totex!AS30</f>
        <v>-34.746617572579481</v>
      </c>
      <c r="AT27" s="8">
        <f>- Totex!AT30</f>
        <v>-60.78968433258899</v>
      </c>
      <c r="AU27" s="8">
        <f>- Totex!AU30</f>
        <v>-70.204962119921248</v>
      </c>
      <c r="AV27" s="8">
        <f>- Totex!AV30</f>
        <v>-88.096354225068694</v>
      </c>
      <c r="AW27" s="2"/>
    </row>
    <row r="28" spans="1:49" ht="15">
      <c r="A28" s="2"/>
      <c r="B28" s="2"/>
      <c r="C28" s="2"/>
      <c r="D28" s="2"/>
      <c r="E28" s="2" t="s">
        <v>851</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-0.48592963108059095</v>
      </c>
      <c r="AS28" s="432">
        <f t="shared" si="3"/>
        <v>-0.76216869300594681</v>
      </c>
      <c r="AT28" s="432">
        <f t="shared" si="3"/>
        <v>-2.7356840896874388</v>
      </c>
      <c r="AU28" s="432">
        <f t="shared" si="3"/>
        <v>-3.7310317840349114</v>
      </c>
      <c r="AV28" s="432">
        <f t="shared" si="3"/>
        <v>-4.7380926191112138</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849</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0.50600000000000001</v>
      </c>
      <c r="AS30" s="210">
        <f t="shared" ref="AS30:AV30" si="4">$I24</f>
        <v>0.50600000000000001</v>
      </c>
      <c r="AT30" s="210">
        <f t="shared" si="4"/>
        <v>0.50600000000000001</v>
      </c>
      <c r="AU30" s="210">
        <f t="shared" si="4"/>
        <v>0.50600000000000001</v>
      </c>
      <c r="AV30" s="210">
        <f t="shared" si="4"/>
        <v>0.50600000000000001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852</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-0.24588039332677902</v>
      </c>
      <c r="AS32" s="537">
        <f t="shared" si="5"/>
        <v>-0.38565735866100909</v>
      </c>
      <c r="AT32" s="537">
        <f t="shared" si="5"/>
        <v>-1.3842561493818442</v>
      </c>
      <c r="AU32" s="537">
        <f t="shared" si="5"/>
        <v>-1.8879020827216653</v>
      </c>
      <c r="AV32" s="537">
        <f t="shared" si="5"/>
        <v>-2.3974748652702744</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854</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847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855</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331.69961801645235</v>
      </c>
      <c r="AS38" s="2">
        <f>-AS14</f>
        <v>341.13314627026421</v>
      </c>
      <c r="AT38" s="2">
        <f>-AT14</f>
        <v>338.24943555574805</v>
      </c>
      <c r="AU38" s="2">
        <f>-AU14</f>
        <v>315.04658009262153</v>
      </c>
      <c r="AV38" s="2">
        <f>-AV14</f>
        <v>307.47002481627874</v>
      </c>
      <c r="AW38" s="2"/>
    </row>
    <row r="39" spans="1:49" ht="15">
      <c r="A39" s="2"/>
      <c r="B39" s="2"/>
      <c r="C39" s="2"/>
      <c r="D39" s="2"/>
      <c r="E39" s="2" t="s">
        <v>852</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-22.011122196384179</v>
      </c>
      <c r="AS39" s="2">
        <f>AS19</f>
        <v>-0.37268793875758538</v>
      </c>
      <c r="AT39" s="2">
        <f>AT19</f>
        <v>1.0711462316966147</v>
      </c>
      <c r="AU39" s="2">
        <f>AU19</f>
        <v>8.8169430472119128</v>
      </c>
      <c r="AV39" s="2">
        <f>AV19</f>
        <v>8.9810780808526758</v>
      </c>
      <c r="AW39" s="2"/>
    </row>
    <row r="40" spans="1:49" ht="15">
      <c r="A40" s="2"/>
      <c r="B40" s="2"/>
      <c r="C40" s="2"/>
      <c r="D40" s="2"/>
      <c r="E40" s="2" t="s">
        <v>854</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309.68849582006817</v>
      </c>
      <c r="AS40" s="432">
        <f t="shared" si="6"/>
        <v>340.76045833150664</v>
      </c>
      <c r="AT40" s="432">
        <f t="shared" si="6"/>
        <v>339.32058178744467</v>
      </c>
      <c r="AU40" s="432">
        <f t="shared" si="6"/>
        <v>323.86352313983343</v>
      </c>
      <c r="AV40" s="432">
        <f t="shared" si="6"/>
        <v>316.45110289713142</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853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855</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32.040213891458635</v>
      </c>
      <c r="AS44" s="2">
        <f>-AS27</f>
        <v>34.746617572579481</v>
      </c>
      <c r="AT44" s="2">
        <f>-AT27</f>
        <v>60.78968433258899</v>
      </c>
      <c r="AU44" s="2">
        <f>-AU27</f>
        <v>70.204962119921248</v>
      </c>
      <c r="AV44" s="2">
        <f>-AV27</f>
        <v>88.096354225068694</v>
      </c>
      <c r="AW44" s="2"/>
    </row>
    <row r="45" spans="1:49" ht="15">
      <c r="A45" s="2"/>
      <c r="B45" s="2"/>
      <c r="C45" s="2"/>
      <c r="D45" s="2"/>
      <c r="E45" s="2" t="s">
        <v>852</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-0.24588039332677902</v>
      </c>
      <c r="AS45" s="2">
        <f>AS32</f>
        <v>-0.38565735866100909</v>
      </c>
      <c r="AT45" s="2">
        <f>AT32</f>
        <v>-1.3842561493818442</v>
      </c>
      <c r="AU45" s="2">
        <f>AU32</f>
        <v>-1.8879020827216653</v>
      </c>
      <c r="AV45" s="2">
        <f>AV32</f>
        <v>-2.3974748652702744</v>
      </c>
      <c r="AW45" s="2"/>
    </row>
    <row r="46" spans="1:49" ht="15">
      <c r="A46" s="2"/>
      <c r="B46" s="2"/>
      <c r="C46" s="2"/>
      <c r="D46" s="2"/>
      <c r="E46" s="2" t="s">
        <v>854</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31.794333498131856</v>
      </c>
      <c r="AS46" s="432">
        <f t="shared" si="7"/>
        <v>34.360960213918474</v>
      </c>
      <c r="AT46" s="432">
        <f t="shared" si="7"/>
        <v>59.40542818320715</v>
      </c>
      <c r="AU46" s="432">
        <f t="shared" si="7"/>
        <v>68.317060037199582</v>
      </c>
      <c r="AV46" s="432">
        <f t="shared" si="7"/>
        <v>85.698879359798426</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856</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857</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854</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309.68849582006817</v>
      </c>
      <c r="AS52" s="2">
        <f>AS40</f>
        <v>340.76045833150664</v>
      </c>
      <c r="AT52" s="2">
        <f>AT40</f>
        <v>339.32058178744467</v>
      </c>
      <c r="AU52" s="2">
        <f>AU40</f>
        <v>323.86352313983343</v>
      </c>
      <c r="AV52" s="2">
        <f>AV40</f>
        <v>316.45110289713142</v>
      </c>
      <c r="AW52" s="2"/>
    </row>
    <row r="53" spans="1:49" ht="15">
      <c r="A53" s="2"/>
      <c r="B53" s="2"/>
      <c r="C53" s="2"/>
      <c r="D53" s="2"/>
      <c r="E53" s="2" t="s">
        <v>858</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0.68</v>
      </c>
      <c r="AS53" s="201">
        <f>InputSummary!AS209</f>
        <v>0.68</v>
      </c>
      <c r="AT53" s="201">
        <f>InputSummary!AT209</f>
        <v>0.68</v>
      </c>
      <c r="AU53" s="201">
        <f>InputSummary!AU209</f>
        <v>0.68</v>
      </c>
      <c r="AV53" s="201">
        <f>InputSummary!AV209</f>
        <v>0.68</v>
      </c>
      <c r="AW53" s="2"/>
    </row>
    <row r="54" spans="1:49" ht="15">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99.100318662421799</v>
      </c>
      <c r="AS54" s="432">
        <f t="shared" si="8"/>
        <v>109.04334666608212</v>
      </c>
      <c r="AT54" s="432">
        <f t="shared" si="8"/>
        <v>108.58258617198227</v>
      </c>
      <c r="AU54" s="432">
        <f t="shared" si="8"/>
        <v>103.63632740474668</v>
      </c>
      <c r="AV54" s="432">
        <f t="shared" si="8"/>
        <v>101.26435292708204</v>
      </c>
      <c r="AW54" s="2"/>
    </row>
    <row r="55" spans="1:49" ht="15">
      <c r="A55" s="2"/>
      <c r="B55" s="2"/>
      <c r="C55" s="2"/>
      <c r="D55" s="2"/>
      <c r="E55" s="2" t="s">
        <v>859</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210.58817715764636</v>
      </c>
      <c r="AS55" s="2">
        <f t="shared" si="9"/>
        <v>231.71711166542454</v>
      </c>
      <c r="AT55" s="2">
        <f t="shared" si="9"/>
        <v>230.73799561546238</v>
      </c>
      <c r="AU55" s="2">
        <f t="shared" si="9"/>
        <v>220.22719573508675</v>
      </c>
      <c r="AV55" s="2">
        <f t="shared" si="9"/>
        <v>215.18674997004939</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860</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854</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31.794333498131856</v>
      </c>
      <c r="AS59" s="2">
        <f>AS46</f>
        <v>34.360960213918474</v>
      </c>
      <c r="AT59" s="2">
        <f>AT46</f>
        <v>59.40542818320715</v>
      </c>
      <c r="AU59" s="2">
        <f>AU46</f>
        <v>68.317060037199582</v>
      </c>
      <c r="AV59" s="2">
        <f>AV46</f>
        <v>85.698879359798426</v>
      </c>
      <c r="AW59" s="2"/>
    </row>
    <row r="60" spans="1:49" ht="15">
      <c r="A60" s="2"/>
      <c r="B60" s="2"/>
      <c r="C60" s="2"/>
      <c r="D60" s="2"/>
      <c r="E60" s="2" t="s">
        <v>858</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4.7691500247197789</v>
      </c>
      <c r="AS61" s="432">
        <f t="shared" si="10"/>
        <v>5.1541440320877721</v>
      </c>
      <c r="AT61" s="432">
        <f t="shared" si="10"/>
        <v>8.9108142274810742</v>
      </c>
      <c r="AU61" s="432">
        <f t="shared" si="10"/>
        <v>10.247559005579939</v>
      </c>
      <c r="AV61" s="432">
        <f t="shared" si="10"/>
        <v>12.854831903969766</v>
      </c>
      <c r="AW61" s="2"/>
    </row>
    <row r="62" spans="1:49" ht="15">
      <c r="A62" s="2"/>
      <c r="B62" s="2"/>
      <c r="C62" s="2"/>
      <c r="D62" s="2"/>
      <c r="E62" s="2" t="s">
        <v>859</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27.025183473412078</v>
      </c>
      <c r="AS62" s="2">
        <f t="shared" si="11"/>
        <v>29.206816181830703</v>
      </c>
      <c r="AT62" s="2">
        <f t="shared" si="11"/>
        <v>50.494613955726074</v>
      </c>
      <c r="AU62" s="2">
        <f t="shared" si="11"/>
        <v>58.069501031619644</v>
      </c>
      <c r="AV62" s="2">
        <f t="shared" si="11"/>
        <v>72.844047455828658</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861</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103.86946868714158</v>
      </c>
      <c r="AS66" s="538">
        <f t="shared" ref="AS66:AV66" si="12">AS54+AS61</f>
        <v>114.19749069816989</v>
      </c>
      <c r="AT66" s="538">
        <f t="shared" si="12"/>
        <v>117.49340039946334</v>
      </c>
      <c r="AU66" s="538">
        <f t="shared" si="12"/>
        <v>113.88388641032662</v>
      </c>
      <c r="AV66" s="538">
        <f t="shared" si="12"/>
        <v>114.11918483105181</v>
      </c>
    </row>
    <row r="67" spans="1:49">
      <c r="AQ67" s="220"/>
    </row>
    <row r="68" spans="1:49" ht="15">
      <c r="C68" s="2"/>
      <c r="D68" s="2"/>
      <c r="E68" s="2" t="s">
        <v>859</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237.61336063105844</v>
      </c>
      <c r="AS68" s="538">
        <f t="shared" ref="AS68:AV68" si="13">AS55+AS62</f>
        <v>260.92392784725524</v>
      </c>
      <c r="AT68" s="538">
        <f t="shared" si="13"/>
        <v>281.23260957118845</v>
      </c>
      <c r="AU68" s="538">
        <f t="shared" si="13"/>
        <v>278.29669676670642</v>
      </c>
      <c r="AV68" s="538">
        <f t="shared" si="13"/>
        <v>288.03079742587806</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862</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0.69582813608951899</v>
      </c>
      <c r="AS70" s="304">
        <f t="shared" si="14"/>
        <v>0.69557192670846868</v>
      </c>
      <c r="AT70" s="304">
        <f t="shared" si="14"/>
        <v>0.70532797594992258</v>
      </c>
      <c r="AU70" s="304">
        <f t="shared" si="14"/>
        <v>0.70961365428201573</v>
      </c>
      <c r="AV70" s="304">
        <f t="shared" si="14"/>
        <v>0.71622730357814079</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863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409"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864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865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280</v>
      </c>
      <c r="F11" s="2"/>
      <c r="G11" s="2" t="s">
        <v>281</v>
      </c>
      <c r="H11" s="2"/>
      <c r="I11" s="8">
        <f>InputSummary!I218</f>
        <v>11</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866</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867</v>
      </c>
      <c r="F17" s="2"/>
      <c r="G17" s="2" t="s">
        <v>868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0</v>
      </c>
      <c r="X17" s="2" t="b">
        <f t="shared" si="0"/>
        <v>0</v>
      </c>
      <c r="Y17" s="2" t="b">
        <f t="shared" si="0"/>
        <v>0</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869</v>
      </c>
      <c r="F18" s="2"/>
      <c r="G18" s="2" t="s">
        <v>868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1</v>
      </c>
      <c r="X18" s="2" t="b">
        <f t="shared" si="1"/>
        <v>1</v>
      </c>
      <c r="Y18" s="2" t="b">
        <f t="shared" si="1"/>
        <v>1</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870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871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872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873</v>
      </c>
      <c r="F24" s="7"/>
      <c r="G24" s="2" t="s">
        <v>105</v>
      </c>
      <c r="H24" s="7"/>
      <c r="I24" s="7"/>
      <c r="J24" s="2"/>
      <c r="K24" s="8">
        <f>InputSummary!K229 + InputSummary!K231</f>
        <v>28.526000944534815</v>
      </c>
      <c r="L24" s="8">
        <f>InputSummary!L229 + InputSummary!L231</f>
        <v>69.833132182400178</v>
      </c>
      <c r="M24" s="8">
        <f>InputSummary!M229 + InputSummary!M231</f>
        <v>144.48234244634517</v>
      </c>
      <c r="N24" s="8">
        <f>InputSummary!N229 + InputSummary!N231</f>
        <v>130.21934197407776</v>
      </c>
      <c r="O24" s="8">
        <f>InputSummary!O229 + InputSummary!O231</f>
        <v>129.10793933987514</v>
      </c>
      <c r="P24" s="8">
        <f>InputSummary!P229 + InputSummary!P231</f>
        <v>132.25691347011596</v>
      </c>
      <c r="Q24" s="8">
        <f>InputSummary!Q229 + InputSummary!Q231</f>
        <v>138.18439418586345</v>
      </c>
      <c r="R24" s="8">
        <f>InputSummary!R229 + InputSummary!R231</f>
        <v>168.37749908170227</v>
      </c>
      <c r="S24" s="8">
        <f>InputSummary!S229 + InputSummary!S231</f>
        <v>180.29446944987433</v>
      </c>
      <c r="T24" s="8">
        <f>InputSummary!T229 + InputSummary!T231</f>
        <v>165.71182853848742</v>
      </c>
      <c r="U24" s="8">
        <f>InputSummary!U229 + InputSummary!U231</f>
        <v>143.89240198462886</v>
      </c>
      <c r="V24" s="8">
        <f>InputSummary!V229 + InputSummary!V231</f>
        <v>131.62425113826984</v>
      </c>
      <c r="W24" s="8">
        <f>InputSummary!W229 + InputSummary!W231</f>
        <v>152.1201964892596</v>
      </c>
      <c r="X24" s="8">
        <f>InputSummary!X229 + InputSummary!X231</f>
        <v>179.58715805818156</v>
      </c>
      <c r="Y24" s="8">
        <f>InputSummary!Y229 + InputSummary!Y231</f>
        <v>173.32006211906727</v>
      </c>
      <c r="Z24" s="8">
        <f>InputSummary!Z229 + InputSummary!Z231</f>
        <v>203.36386369721032</v>
      </c>
      <c r="AA24" s="8">
        <f>InputSummary!AA229 + InputSummary!AA231</f>
        <v>128.05389332658407</v>
      </c>
      <c r="AB24" s="8">
        <f>InputSummary!AB229 + InputSummary!AB231</f>
        <v>157.80709395436162</v>
      </c>
      <c r="AC24" s="8">
        <f>InputSummary!AC229 + InputSummary!AC231</f>
        <v>173.39101420035695</v>
      </c>
      <c r="AD24" s="8">
        <f>InputSummary!AD229 + InputSummary!AD231</f>
        <v>158.41065966088121</v>
      </c>
      <c r="AE24" s="8">
        <f>InputSummary!AE229 + InputSummary!AE231</f>
        <v>153.73959941493774</v>
      </c>
      <c r="AF24" s="8">
        <f>InputSummary!AF229 + InputSummary!AF231</f>
        <v>189.52738762176125</v>
      </c>
      <c r="AG24" s="8">
        <f>InputSummary!AG229 + InputSummary!AG231</f>
        <v>198.81414272608728</v>
      </c>
      <c r="AH24" s="8">
        <f>InputSummary!AH229 + InputSummary!AH231</f>
        <v>203.50779726060745</v>
      </c>
      <c r="AI24" s="8">
        <f>InputSummary!AI229 + InputSummary!AI231</f>
        <v>221.25861676212187</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874</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191.71604548314653</v>
      </c>
      <c r="AK25" s="8">
        <f>InputSummary!AK235</f>
        <v>174.69572201826307</v>
      </c>
      <c r="AL25" s="8">
        <f>InputSummary!AL235</f>
        <v>186.35491468013478</v>
      </c>
      <c r="AM25" s="8">
        <f>InputSummary!AM235</f>
        <v>189.53974377633185</v>
      </c>
      <c r="AN25" s="8">
        <f>InputSummary!AN235</f>
        <v>182.79560949560832</v>
      </c>
      <c r="AO25" s="8">
        <f>InputSummary!AO235</f>
        <v>181.46808524335731</v>
      </c>
      <c r="AP25" s="8">
        <f>InputSummary!AP235</f>
        <v>188.56712753893612</v>
      </c>
      <c r="AQ25" s="9">
        <f>InputSummary!AQ235</f>
        <v>185.21365640640448</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875</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237.61336063105844</v>
      </c>
      <c r="AS26" s="8">
        <f>TIM!AS68*AS16</f>
        <v>260.92392784725524</v>
      </c>
      <c r="AT26" s="8">
        <f>TIM!AT68*AT16</f>
        <v>281.23260957118845</v>
      </c>
      <c r="AU26" s="8">
        <f>TIM!AU68*AU16</f>
        <v>278.29669676670642</v>
      </c>
      <c r="AV26" s="8">
        <f>TIM!AV68*AV16</f>
        <v>288.03079742587806</v>
      </c>
      <c r="AW26" s="2"/>
    </row>
    <row r="27" spans="1:49" ht="15">
      <c r="A27" s="2"/>
      <c r="B27" s="2"/>
      <c r="C27" s="2"/>
      <c r="D27" s="2"/>
      <c r="E27" s="56" t="s">
        <v>876</v>
      </c>
      <c r="F27" s="7"/>
      <c r="G27" s="2" t="s">
        <v>105</v>
      </c>
      <c r="H27" s="7"/>
      <c r="I27" s="7"/>
      <c r="J27" s="2"/>
      <c r="K27" s="432">
        <f t="shared" ref="K27:L27" si="2">SUM(K24:K26)</f>
        <v>28.526000944534815</v>
      </c>
      <c r="L27" s="432">
        <f t="shared" si="2"/>
        <v>69.833132182400178</v>
      </c>
      <c r="M27" s="432">
        <f t="shared" ref="M27" si="3">SUM(M24:M26)</f>
        <v>144.48234244634517</v>
      </c>
      <c r="N27" s="432">
        <f t="shared" ref="N27" si="4">SUM(N24:N26)</f>
        <v>130.21934197407776</v>
      </c>
      <c r="O27" s="432">
        <f t="shared" ref="O27" si="5">SUM(O24:O26)</f>
        <v>129.10793933987514</v>
      </c>
      <c r="P27" s="432">
        <f t="shared" ref="P27" si="6">SUM(P24:P26)</f>
        <v>132.25691347011596</v>
      </c>
      <c r="Q27" s="432">
        <f t="shared" ref="Q27" si="7">SUM(Q24:Q26)</f>
        <v>138.18439418586345</v>
      </c>
      <c r="R27" s="432">
        <f t="shared" ref="R27" si="8">SUM(R24:R26)</f>
        <v>168.37749908170227</v>
      </c>
      <c r="S27" s="432">
        <f t="shared" ref="S27" si="9">SUM(S24:S26)</f>
        <v>180.29446944987433</v>
      </c>
      <c r="T27" s="432">
        <f t="shared" ref="T27" si="10">SUM(T24:T26)</f>
        <v>165.71182853848742</v>
      </c>
      <c r="U27" s="432">
        <f t="shared" ref="U27" si="11">SUM(U24:U26)</f>
        <v>143.89240198462886</v>
      </c>
      <c r="V27" s="432">
        <f t="shared" ref="V27" si="12">SUM(V24:V26)</f>
        <v>131.62425113826984</v>
      </c>
      <c r="W27" s="432">
        <f t="shared" ref="W27" si="13">SUM(W24:W26)</f>
        <v>152.1201964892596</v>
      </c>
      <c r="X27" s="432">
        <f t="shared" ref="X27" si="14">SUM(X24:X26)</f>
        <v>179.58715805818156</v>
      </c>
      <c r="Y27" s="432">
        <f t="shared" ref="Y27" si="15">SUM(Y24:Y26)</f>
        <v>173.32006211906727</v>
      </c>
      <c r="Z27" s="432">
        <f t="shared" ref="Z27" si="16">SUM(Z24:Z26)</f>
        <v>203.36386369721032</v>
      </c>
      <c r="AA27" s="432">
        <f t="shared" ref="AA27" si="17">SUM(AA24:AA26)</f>
        <v>128.05389332658407</v>
      </c>
      <c r="AB27" s="432">
        <f t="shared" ref="AB27" si="18">SUM(AB24:AB26)</f>
        <v>157.80709395436162</v>
      </c>
      <c r="AC27" s="432">
        <f t="shared" ref="AC27" si="19">SUM(AC24:AC26)</f>
        <v>173.39101420035695</v>
      </c>
      <c r="AD27" s="432">
        <f t="shared" ref="AD27" si="20">SUM(AD24:AD26)</f>
        <v>158.41065966088121</v>
      </c>
      <c r="AE27" s="432">
        <f t="shared" ref="AE27" si="21">SUM(AE24:AE26)</f>
        <v>153.73959941493774</v>
      </c>
      <c r="AF27" s="432">
        <f t="shared" ref="AF27" si="22">SUM(AF24:AF26)</f>
        <v>189.52738762176125</v>
      </c>
      <c r="AG27" s="432">
        <f t="shared" ref="AG27" si="23">SUM(AG24:AG26)</f>
        <v>198.81414272608728</v>
      </c>
      <c r="AH27" s="432">
        <f t="shared" ref="AH27" si="24">SUM(AH24:AH26)</f>
        <v>203.50779726060745</v>
      </c>
      <c r="AI27" s="432">
        <f t="shared" ref="AI27" si="25">SUM(AI24:AI26)</f>
        <v>221.25861676212187</v>
      </c>
      <c r="AJ27" s="432">
        <f>SUM(AJ24:AJ26)</f>
        <v>191.71604548314653</v>
      </c>
      <c r="AK27" s="432">
        <f t="shared" ref="AK27" si="26">SUM(AK24:AK26)</f>
        <v>174.69572201826307</v>
      </c>
      <c r="AL27" s="432">
        <f t="shared" ref="AL27" si="27">SUM(AL24:AL26)</f>
        <v>186.35491468013478</v>
      </c>
      <c r="AM27" s="432">
        <f t="shared" ref="AM27" si="28">SUM(AM24:AM26)</f>
        <v>189.53974377633185</v>
      </c>
      <c r="AN27" s="432">
        <f t="shared" ref="AN27" si="29">SUM(AN24:AN26)</f>
        <v>182.79560949560832</v>
      </c>
      <c r="AO27" s="432">
        <f t="shared" ref="AO27" si="30">SUM(AO24:AO26)</f>
        <v>181.46808524335731</v>
      </c>
      <c r="AP27" s="432">
        <f t="shared" ref="AP27" si="31">SUM(AP24:AP26)</f>
        <v>188.56712753893612</v>
      </c>
      <c r="AQ27" s="534">
        <f t="shared" ref="AQ27" si="32">SUM(AQ24:AQ26)</f>
        <v>185.21365640640448</v>
      </c>
      <c r="AR27" s="432">
        <f t="shared" ref="AR27" si="33">SUM(AR24:AR26)</f>
        <v>237.61336063105844</v>
      </c>
      <c r="AS27" s="432">
        <f t="shared" ref="AS27" si="34">SUM(AS24:AS26)</f>
        <v>260.92392784725524</v>
      </c>
      <c r="AT27" s="432">
        <f t="shared" ref="AT27:AV27" si="35">SUM(AT24:AT26)</f>
        <v>281.23260957118845</v>
      </c>
      <c r="AU27" s="432">
        <f t="shared" si="35"/>
        <v>278.29669676670642</v>
      </c>
      <c r="AV27" s="432">
        <f t="shared" si="35"/>
        <v>288.03079742587806</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877</v>
      </c>
      <c r="F29" s="7"/>
      <c r="G29" s="2" t="s">
        <v>105</v>
      </c>
      <c r="H29" s="7"/>
      <c r="I29" s="7"/>
      <c r="J29" s="2"/>
      <c r="K29" s="2">
        <f t="shared" ref="K29:AV29" si="36">K59</f>
        <v>0</v>
      </c>
      <c r="L29" s="2">
        <f t="shared" si="36"/>
        <v>0.85663666500104563</v>
      </c>
      <c r="M29" s="2">
        <f t="shared" si="36"/>
        <v>2.9537277215295799</v>
      </c>
      <c r="N29" s="2">
        <f t="shared" si="36"/>
        <v>7.2925368040024079</v>
      </c>
      <c r="O29" s="2">
        <f t="shared" si="36"/>
        <v>11.203027553974714</v>
      </c>
      <c r="P29" s="2">
        <f t="shared" si="36"/>
        <v>15.08014284946646</v>
      </c>
      <c r="Q29" s="2">
        <f t="shared" si="36"/>
        <v>19.051821932653127</v>
      </c>
      <c r="R29" s="2">
        <f t="shared" si="36"/>
        <v>23.201503439736115</v>
      </c>
      <c r="S29" s="2">
        <f t="shared" si="36"/>
        <v>28.257884793540988</v>
      </c>
      <c r="T29" s="2">
        <f t="shared" si="36"/>
        <v>33.672133125369044</v>
      </c>
      <c r="U29" s="2">
        <f t="shared" si="36"/>
        <v>38.648464312711006</v>
      </c>
      <c r="V29" s="2">
        <f t="shared" si="36"/>
        <v>42.969557465402566</v>
      </c>
      <c r="W29" s="2">
        <f t="shared" si="36"/>
        <v>88.020168762218916</v>
      </c>
      <c r="X29" s="2">
        <f t="shared" si="36"/>
        <v>95.626178586681888</v>
      </c>
      <c r="Y29" s="2">
        <f t="shared" si="36"/>
        <v>104.60553648959096</v>
      </c>
      <c r="Z29" s="2">
        <f t="shared" si="36"/>
        <v>113.27153959554433</v>
      </c>
      <c r="AA29" s="2">
        <f t="shared" si="36"/>
        <v>123.43973278040484</v>
      </c>
      <c r="AB29" s="2">
        <f t="shared" si="36"/>
        <v>129.84242744673404</v>
      </c>
      <c r="AC29" s="2">
        <f t="shared" si="36"/>
        <v>137.73278214445213</v>
      </c>
      <c r="AD29" s="2">
        <f t="shared" si="36"/>
        <v>146.40233285446996</v>
      </c>
      <c r="AE29" s="2">
        <f t="shared" si="36"/>
        <v>154.32286583751403</v>
      </c>
      <c r="AF29" s="2">
        <f t="shared" si="36"/>
        <v>160.58354576103417</v>
      </c>
      <c r="AG29" s="2">
        <f t="shared" si="36"/>
        <v>166.56825853300222</v>
      </c>
      <c r="AH29" s="2">
        <f t="shared" si="36"/>
        <v>169.28484854698934</v>
      </c>
      <c r="AI29" s="2">
        <f>AI59</f>
        <v>172.94927131131575</v>
      </c>
      <c r="AJ29" s="2">
        <f t="shared" si="36"/>
        <v>177.55680518242809</v>
      </c>
      <c r="AK29" s="2">
        <f t="shared" si="36"/>
        <v>170.94395950892235</v>
      </c>
      <c r="AL29" s="2">
        <f t="shared" si="36"/>
        <v>154.14009677421905</v>
      </c>
      <c r="AM29" s="2">
        <f t="shared" si="36"/>
        <v>145.72122182013391</v>
      </c>
      <c r="AN29" s="2">
        <f t="shared" si="36"/>
        <v>136.70649834764018</v>
      </c>
      <c r="AO29" s="2">
        <f t="shared" si="36"/>
        <v>128.42090692071585</v>
      </c>
      <c r="AP29" s="2">
        <f t="shared" si="36"/>
        <v>121.22628682148436</v>
      </c>
      <c r="AQ29" s="57">
        <f>AQ59</f>
        <v>114.64507426457092</v>
      </c>
      <c r="AR29" s="2">
        <f>AR59</f>
        <v>107.03906444010802</v>
      </c>
      <c r="AS29" s="2">
        <f t="shared" si="36"/>
        <v>98.05970653719892</v>
      </c>
      <c r="AT29" s="2">
        <f t="shared" si="36"/>
        <v>89.393703431245498</v>
      </c>
      <c r="AU29" s="2">
        <f t="shared" si="36"/>
        <v>79.225510246384957</v>
      </c>
      <c r="AV29" s="2">
        <f t="shared" si="36"/>
        <v>72.822815580055774</v>
      </c>
      <c r="AW29" s="2"/>
    </row>
    <row r="30" spans="1:49" ht="15">
      <c r="A30" s="2"/>
      <c r="B30" s="2"/>
      <c r="C30" s="2"/>
      <c r="D30" s="2"/>
      <c r="E30" s="56" t="s">
        <v>878</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8.2904235884603903</v>
      </c>
      <c r="AL30" s="2">
        <f t="shared" si="38"/>
        <v>14.945498712965652</v>
      </c>
      <c r="AM30" s="2">
        <f t="shared" si="38"/>
        <v>21.289495808459602</v>
      </c>
      <c r="AN30" s="2">
        <f t="shared" si="38"/>
        <v>27.121487924654428</v>
      </c>
      <c r="AO30" s="2">
        <f t="shared" si="38"/>
        <v>32.252592752601331</v>
      </c>
      <c r="AP30" s="2">
        <f t="shared" si="38"/>
        <v>36.935640113720225</v>
      </c>
      <c r="AQ30" s="57">
        <f t="shared" si="38"/>
        <v>41.438735696739599</v>
      </c>
      <c r="AR30" s="2">
        <f t="shared" si="38"/>
        <v>45.554594727993035</v>
      </c>
      <c r="AS30" s="2">
        <f t="shared" si="38"/>
        <v>45.554594727993035</v>
      </c>
      <c r="AT30" s="2">
        <f t="shared" si="38"/>
        <v>45.554594727993035</v>
      </c>
      <c r="AU30" s="2">
        <f t="shared" si="38"/>
        <v>45.554594727993035</v>
      </c>
      <c r="AV30" s="2">
        <f t="shared" si="38"/>
        <v>45.554594727993035</v>
      </c>
      <c r="AW30" s="2"/>
    </row>
    <row r="31" spans="1:49" ht="15">
      <c r="A31" s="2"/>
      <c r="B31" s="2"/>
      <c r="C31" s="2"/>
      <c r="D31" s="2"/>
      <c r="E31" s="56" t="s">
        <v>879</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5.2802969029124096</v>
      </c>
      <c r="AT31" s="2">
        <f t="shared" si="40"/>
        <v>11.078606410629192</v>
      </c>
      <c r="AU31" s="2">
        <f t="shared" si="40"/>
        <v>17.328219956655602</v>
      </c>
      <c r="AV31" s="2">
        <f t="shared" si="40"/>
        <v>23.512590995915744</v>
      </c>
      <c r="AW31" s="2"/>
    </row>
    <row r="32" spans="1:49" ht="15">
      <c r="A32" s="2"/>
      <c r="B32" s="2"/>
      <c r="C32" s="2"/>
      <c r="D32" s="2"/>
      <c r="E32" s="56" t="s">
        <v>880</v>
      </c>
      <c r="F32" s="7"/>
      <c r="G32" s="2" t="s">
        <v>105</v>
      </c>
      <c r="H32" s="7"/>
      <c r="I32" s="7"/>
      <c r="J32" s="2"/>
      <c r="K32" s="464">
        <f t="shared" ref="K32:AV32" si="41">SUM(K29:K31)</f>
        <v>0</v>
      </c>
      <c r="L32" s="464">
        <f t="shared" si="41"/>
        <v>0.85663666500104563</v>
      </c>
      <c r="M32" s="464">
        <f t="shared" si="41"/>
        <v>2.9537277215295799</v>
      </c>
      <c r="N32" s="464">
        <f t="shared" si="41"/>
        <v>7.2925368040024079</v>
      </c>
      <c r="O32" s="464">
        <f t="shared" si="41"/>
        <v>11.203027553974714</v>
      </c>
      <c r="P32" s="464">
        <f t="shared" si="41"/>
        <v>15.08014284946646</v>
      </c>
      <c r="Q32" s="464">
        <f t="shared" si="41"/>
        <v>19.051821932653127</v>
      </c>
      <c r="R32" s="464">
        <f t="shared" si="41"/>
        <v>23.201503439736115</v>
      </c>
      <c r="S32" s="464">
        <f t="shared" si="41"/>
        <v>28.257884793540988</v>
      </c>
      <c r="T32" s="464">
        <f t="shared" si="41"/>
        <v>33.672133125369044</v>
      </c>
      <c r="U32" s="464">
        <f t="shared" si="41"/>
        <v>38.648464312711006</v>
      </c>
      <c r="V32" s="464">
        <f t="shared" si="41"/>
        <v>42.969557465402566</v>
      </c>
      <c r="W32" s="464">
        <f t="shared" si="41"/>
        <v>88.020168762218916</v>
      </c>
      <c r="X32" s="464">
        <f t="shared" si="41"/>
        <v>95.626178586681888</v>
      </c>
      <c r="Y32" s="464">
        <f t="shared" si="41"/>
        <v>104.60553648959096</v>
      </c>
      <c r="Z32" s="464">
        <f t="shared" si="41"/>
        <v>113.27153959554433</v>
      </c>
      <c r="AA32" s="464">
        <f t="shared" si="41"/>
        <v>123.43973278040484</v>
      </c>
      <c r="AB32" s="464">
        <f t="shared" si="41"/>
        <v>129.84242744673404</v>
      </c>
      <c r="AC32" s="464">
        <f t="shared" si="41"/>
        <v>137.73278214445213</v>
      </c>
      <c r="AD32" s="464">
        <f t="shared" si="41"/>
        <v>146.40233285446996</v>
      </c>
      <c r="AE32" s="464">
        <f t="shared" si="41"/>
        <v>154.32286583751403</v>
      </c>
      <c r="AF32" s="464">
        <f t="shared" si="41"/>
        <v>160.58354576103417</v>
      </c>
      <c r="AG32" s="464">
        <f t="shared" si="41"/>
        <v>166.56825853300222</v>
      </c>
      <c r="AH32" s="464">
        <f t="shared" si="41"/>
        <v>169.28484854698934</v>
      </c>
      <c r="AI32" s="464">
        <f t="shared" si="41"/>
        <v>172.94927131131575</v>
      </c>
      <c r="AJ32" s="464">
        <f t="shared" si="41"/>
        <v>177.55680518242809</v>
      </c>
      <c r="AK32" s="464">
        <f t="shared" si="41"/>
        <v>179.23438309738273</v>
      </c>
      <c r="AL32" s="464">
        <f t="shared" si="41"/>
        <v>169.08559548718469</v>
      </c>
      <c r="AM32" s="464">
        <f t="shared" si="41"/>
        <v>167.01071762859351</v>
      </c>
      <c r="AN32" s="464">
        <f t="shared" si="41"/>
        <v>163.82798627229459</v>
      </c>
      <c r="AO32" s="464">
        <f t="shared" si="41"/>
        <v>160.67349967331717</v>
      </c>
      <c r="AP32" s="464">
        <f t="shared" si="41"/>
        <v>158.16192693520458</v>
      </c>
      <c r="AQ32" s="382">
        <f t="shared" si="41"/>
        <v>156.08380996131052</v>
      </c>
      <c r="AR32" s="464">
        <f t="shared" si="41"/>
        <v>152.59365916810106</v>
      </c>
      <c r="AS32" s="464">
        <f t="shared" si="41"/>
        <v>148.89459816810435</v>
      </c>
      <c r="AT32" s="464">
        <f t="shared" si="41"/>
        <v>146.02690456986772</v>
      </c>
      <c r="AU32" s="464">
        <f t="shared" si="41"/>
        <v>142.10832493103359</v>
      </c>
      <c r="AV32" s="464">
        <f t="shared" si="41"/>
        <v>141.89000130396454</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881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882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883</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884</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885</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3855.4120000275934</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886</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1985.8369253133399</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887</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3855.4120000275934</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888</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1985.8369253133399</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889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890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891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892</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893</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894</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893</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895</v>
      </c>
      <c r="F59" s="34"/>
      <c r="G59" s="2" t="s">
        <v>105</v>
      </c>
      <c r="H59" s="7"/>
      <c r="I59" s="46"/>
      <c r="J59" s="34"/>
      <c r="K59" s="34">
        <f>K64 * SUM(K66:K103) + K108 * SUM(K110:K147) + SUM(K156:K193)</f>
        <v>0</v>
      </c>
      <c r="L59" s="34">
        <f t="shared" ref="L59:AV59" si="60">L64 * SUM(L66:L103) + L108 * SUM(L110:L147) + SUM(L156:L193)</f>
        <v>0.85663666500104563</v>
      </c>
      <c r="M59" s="34">
        <f t="shared" si="60"/>
        <v>2.9537277215295799</v>
      </c>
      <c r="N59" s="34">
        <f t="shared" si="60"/>
        <v>7.2925368040024079</v>
      </c>
      <c r="O59" s="34">
        <f t="shared" si="60"/>
        <v>11.203027553974714</v>
      </c>
      <c r="P59" s="34">
        <f>P64 * SUM(P66:P103) + P108 * SUM(P110:P147) + SUM(P156:P193)</f>
        <v>15.08014284946646</v>
      </c>
      <c r="Q59" s="34">
        <f t="shared" si="60"/>
        <v>19.051821932653127</v>
      </c>
      <c r="R59" s="34">
        <f t="shared" si="60"/>
        <v>23.201503439736115</v>
      </c>
      <c r="S59" s="34">
        <f t="shared" si="60"/>
        <v>28.257884793540988</v>
      </c>
      <c r="T59" s="34">
        <f t="shared" si="60"/>
        <v>33.672133125369044</v>
      </c>
      <c r="U59" s="34">
        <f t="shared" si="60"/>
        <v>38.648464312711006</v>
      </c>
      <c r="V59" s="34">
        <f t="shared" si="60"/>
        <v>42.969557465402566</v>
      </c>
      <c r="W59" s="34">
        <f t="shared" si="60"/>
        <v>88.020168762218916</v>
      </c>
      <c r="X59" s="34">
        <f t="shared" si="60"/>
        <v>95.626178586681888</v>
      </c>
      <c r="Y59" s="34">
        <f t="shared" si="60"/>
        <v>104.60553648959096</v>
      </c>
      <c r="Z59" s="34">
        <f t="shared" si="60"/>
        <v>113.27153959554433</v>
      </c>
      <c r="AA59" s="34">
        <f t="shared" si="60"/>
        <v>123.43973278040484</v>
      </c>
      <c r="AB59" s="34">
        <f t="shared" si="60"/>
        <v>129.84242744673404</v>
      </c>
      <c r="AC59" s="34">
        <f t="shared" si="60"/>
        <v>137.73278214445213</v>
      </c>
      <c r="AD59" s="34">
        <f t="shared" si="60"/>
        <v>146.40233285446996</v>
      </c>
      <c r="AE59" s="34">
        <f t="shared" si="60"/>
        <v>154.32286583751403</v>
      </c>
      <c r="AF59" s="34">
        <f t="shared" si="60"/>
        <v>160.58354576103417</v>
      </c>
      <c r="AG59" s="34">
        <f t="shared" si="60"/>
        <v>166.56825853300222</v>
      </c>
      <c r="AH59" s="34">
        <f t="shared" si="60"/>
        <v>169.28484854698934</v>
      </c>
      <c r="AI59" s="34">
        <f>AI64 * SUM(AI66:AI103) + AI108 * SUM(AI110:AI147) + SUM(AI156:AI193)</f>
        <v>172.94927131131575</v>
      </c>
      <c r="AJ59" s="34">
        <f t="shared" si="60"/>
        <v>177.55680518242809</v>
      </c>
      <c r="AK59" s="34">
        <f t="shared" si="60"/>
        <v>170.94395950892235</v>
      </c>
      <c r="AL59" s="34">
        <f t="shared" si="60"/>
        <v>154.14009677421905</v>
      </c>
      <c r="AM59" s="34">
        <f t="shared" si="60"/>
        <v>145.72122182013391</v>
      </c>
      <c r="AN59" s="34">
        <f t="shared" si="60"/>
        <v>136.70649834764018</v>
      </c>
      <c r="AO59" s="34">
        <f t="shared" si="60"/>
        <v>128.42090692071585</v>
      </c>
      <c r="AP59" s="34">
        <f t="shared" si="60"/>
        <v>121.22628682148436</v>
      </c>
      <c r="AQ59" s="36">
        <f t="shared" si="60"/>
        <v>114.64507426457092</v>
      </c>
      <c r="AR59" s="34">
        <f t="shared" si="60"/>
        <v>107.03906444010802</v>
      </c>
      <c r="AS59" s="34">
        <f t="shared" si="60"/>
        <v>98.05970653719892</v>
      </c>
      <c r="AT59" s="34">
        <f t="shared" si="60"/>
        <v>89.393703431245498</v>
      </c>
      <c r="AU59" s="34">
        <f t="shared" si="60"/>
        <v>79.225510246384957</v>
      </c>
      <c r="AV59" s="34">
        <f t="shared" si="60"/>
        <v>72.822815580055774</v>
      </c>
    </row>
    <row r="60" spans="1:49">
      <c r="AQ60" s="220"/>
    </row>
    <row r="61" spans="1:49" ht="15">
      <c r="A61" s="2"/>
      <c r="B61" s="2"/>
      <c r="C61" s="20" t="s">
        <v>896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897</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0</v>
      </c>
      <c r="X64" s="2">
        <f t="shared" si="61"/>
        <v>0</v>
      </c>
      <c r="Y64" s="2">
        <f t="shared" si="61"/>
        <v>0</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105</v>
      </c>
      <c r="I66" s="2">
        <f t="shared" ref="I66:I103" si="62">INDEX($K$24:$AV$24,,MATCH(E66,$K$4:$AV$4,0))</f>
        <v>28.526000944534815</v>
      </c>
      <c r="K66" s="2">
        <f>IF(J$4=$E66, $I66*J$55,0) + IF(J$4&gt;$E66,MIN(J66,$I66-SUM($J66:J66)))</f>
        <v>0</v>
      </c>
      <c r="L66" s="2">
        <f>IF(K$4=$E66, $I66*K$55,0) + IF(K$4&gt;$E66,MIN(K66,$I66-SUM($J66:K66)))</f>
        <v>0.85663666500104563</v>
      </c>
      <c r="M66" s="2">
        <f>IF(L$4=$E66, $I66*L$55,0) + IF(L$4&gt;$E66,MIN(L66,$I66-SUM($J66:L66)))</f>
        <v>0.85663666500104563</v>
      </c>
      <c r="N66" s="2">
        <f>IF(M$4=$E66, $I66*M$55,0) + IF(M$4&gt;$E66,MIN(M66,$I66-SUM($J66:M66)))</f>
        <v>0.85663666500104563</v>
      </c>
      <c r="O66" s="2">
        <f>IF(N$4=$E66, $I66*N$55,0) + IF(N$4&gt;$E66,MIN(N66,$I66-SUM($J66:N66)))</f>
        <v>0.85663666500104563</v>
      </c>
      <c r="P66" s="2">
        <f>IF(O$4=$E66, $I66*O$55,0) + IF(O$4&gt;$E66,MIN(O66,$I66-SUM($J66:O66)))</f>
        <v>0.85663666500104563</v>
      </c>
      <c r="Q66" s="2">
        <f>IF(P$4=$E66, $I66*P$55,0) + IF(P$4&gt;$E66,MIN(P66,$I66-SUM($J66:P66)))</f>
        <v>0.85663666500104563</v>
      </c>
      <c r="R66" s="2">
        <f>IF(Q$4=$E66, $I66*Q$55,0) + IF(Q$4&gt;$E66,MIN(Q66,$I66-SUM($J66:Q66)))</f>
        <v>0.85663666500104563</v>
      </c>
      <c r="S66" s="2">
        <f>IF(R$4=$E66, $I66*R$55,0) + IF(R$4&gt;$E66,MIN(R66,$I66-SUM($J66:R66)))</f>
        <v>0.85663666500104563</v>
      </c>
      <c r="T66" s="2">
        <f>IF(S$4=$E66, $I66*S$55,0) + IF(S$4&gt;$E66,MIN(S66,$I66-SUM($J66:S66)))</f>
        <v>0.85663666500104563</v>
      </c>
      <c r="U66" s="2">
        <f>IF(T$4=$E66, $I66*T$55,0) + IF(T$4&gt;$E66,MIN(T66,$I66-SUM($J66:T66)))</f>
        <v>0.85663666500104563</v>
      </c>
      <c r="V66" s="2">
        <f>IF(U$4=$E66, $I66*U$55,0) + IF(U$4&gt;$E66,MIN(U66,$I66-SUM($J66:U66)))</f>
        <v>0.85663666500104563</v>
      </c>
      <c r="W66" s="2">
        <f>IF(V$4=$E66, $I66*V$55,0) + IF(V$4&gt;$E66,MIN(V66,$I66-SUM($J66:V66)))</f>
        <v>0.85663666500104563</v>
      </c>
      <c r="X66" s="2">
        <f>IF(W$4=$E66, $I66*W$55,0) + IF(W$4&gt;$E66,MIN(W66,$I66-SUM($J66:W66)))</f>
        <v>0.85663666500104563</v>
      </c>
      <c r="Y66" s="2">
        <f>IF(X$4=$E66, $I66*X$55,0) + IF(X$4&gt;$E66,MIN(X66,$I66-SUM($J66:X66)))</f>
        <v>0.85663666500104563</v>
      </c>
      <c r="Z66" s="2">
        <f>IF(Y$4=$E66, $I66*Y$55,0) + IF(Y$4&gt;$E66,MIN(Y66,$I66-SUM($J66:Y66)))</f>
        <v>0.85663666500104563</v>
      </c>
      <c r="AA66" s="2">
        <f>IF(Z$4=$E66, $I66*Z$55,0) + IF(Z$4&gt;$E66,MIN(Z66,$I66-SUM($J66:Z66)))</f>
        <v>0.85663666500104563</v>
      </c>
      <c r="AB66" s="2">
        <f>IF(AA$4=$E66, $I66*AA$55,0) + IF(AA$4&gt;$E66,MIN(AA66,$I66-SUM($J66:AA66)))</f>
        <v>0.85663666500104563</v>
      </c>
      <c r="AC66" s="2">
        <f>IF(AB$4=$E66, $I66*AB$55,0) + IF(AB$4&gt;$E66,MIN(AB66,$I66-SUM($J66:AB66)))</f>
        <v>0.85663666500104563</v>
      </c>
      <c r="AD66" s="2">
        <f>IF(AC$4=$E66, $I66*AC$55,0) + IF(AC$4&gt;$E66,MIN(AC66,$I66-SUM($J66:AC66)))</f>
        <v>0.85663666500104563</v>
      </c>
      <c r="AE66" s="2">
        <f>IF(AD$4=$E66, $I66*AD$55,0) + IF(AD$4&gt;$E66,MIN(AD66,$I66-SUM($J66:AD66)))</f>
        <v>0.85663666500104563</v>
      </c>
      <c r="AF66" s="2">
        <f>IF(AE$4=$E66, $I66*AE$55,0) + IF(AE$4&gt;$E66,MIN(AE66,$I66-SUM($J66:AE66)))</f>
        <v>0.85663666500104563</v>
      </c>
      <c r="AG66" s="2">
        <f>IF(AF$4=$E66, $I66*AF$55,0) + IF(AF$4&gt;$E66,MIN(AF66,$I66-SUM($J66:AF66)))</f>
        <v>0.85663666500104563</v>
      </c>
      <c r="AH66" s="2">
        <f>IF(AG$4=$E66, $I66*AG$55,0) + IF(AG$4&gt;$E66,MIN(AG66,$I66-SUM($J66:AG66)))</f>
        <v>0.85663666500104563</v>
      </c>
      <c r="AI66" s="2">
        <f>IF(AH$4=$E66, $I66*AH$55,0) + IF(AH$4&gt;$E66,MIN(AH66,$I66-SUM($J66:AH66)))</f>
        <v>0.85663666500104563</v>
      </c>
      <c r="AJ66" s="2">
        <f>IF(AI$4=$E66, $I66*AI$55,0) + IF(AI$4&gt;$E66,MIN(AI66,$I66-SUM($J66:AI66)))</f>
        <v>0.85663666500104563</v>
      </c>
      <c r="AK66" s="2">
        <f>IF(AJ$4=$E66, $I66*AJ$55,0) + IF(AJ$4&gt;$E66,MIN(AJ66,$I66-SUM($J66:AJ66)))</f>
        <v>0.85663666500104563</v>
      </c>
      <c r="AL66" s="2">
        <f>IF(AK$4=$E66, $I66*AK$55,0) + IF(AK$4&gt;$E66,MIN(AK66,$I66-SUM($J66:AK66)))</f>
        <v>0.85663666500104563</v>
      </c>
      <c r="AM66" s="2">
        <f>IF(AL$4=$E66, $I66*AL$55,0) + IF(AL$4&gt;$E66,MIN(AL66,$I66-SUM($J66:AL66)))</f>
        <v>0.85663666500104563</v>
      </c>
      <c r="AN66" s="2">
        <f>IF(AM$4=$E66, $I66*AM$55,0) + IF(AM$4&gt;$E66,MIN(AM66,$I66-SUM($J66:AM66)))</f>
        <v>0.85663666500104563</v>
      </c>
      <c r="AO66" s="2">
        <f>IF(AN$4=$E66, $I66*AN$55,0) + IF(AN$4&gt;$E66,MIN(AN66,$I66-SUM($J66:AN66)))</f>
        <v>0.85663666500104563</v>
      </c>
      <c r="AP66" s="2">
        <f>IF(AO$4=$E66, $I66*AO$55,0) + IF(AO$4&gt;$E66,MIN(AO66,$I66-SUM($J66:AO66)))</f>
        <v>0.85663666500104563</v>
      </c>
      <c r="AQ66" s="57">
        <f>IF(AP$4=$E66, $I66*AP$55,0) + IF(AP$4&gt;$E66,MIN(AP66,$I66-SUM($J66:AP66)))</f>
        <v>0.85663666500104563</v>
      </c>
      <c r="AR66" s="2">
        <f>IF(AQ$4=$E66, $I66*AQ$55,0) + IF(AQ$4&gt;$E66,MIN(AQ66,$I66-SUM($J66:AQ66)))</f>
        <v>0.85663666500104563</v>
      </c>
      <c r="AS66" s="2">
        <f>IF(AR$4=$E66, $I66*AR$55,0) + IF(AR$4&gt;$E66,MIN(AR66,$I66-SUM($J66:AR66)))</f>
        <v>0.25699099950032434</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69.833132182400178</v>
      </c>
      <c r="K67" s="2">
        <f>IF(J$4=$E67, $I67*J$55,0) + IF(J$4&gt;$E67,MIN(J67,$I67-SUM($J67:J67)))</f>
        <v>0</v>
      </c>
      <c r="L67" s="2">
        <f>IF(K$4=$E67, $I67*K$55,0) + IF(K$4&gt;$E67,MIN(K67,$I67-SUM($J67:K67)))</f>
        <v>0</v>
      </c>
      <c r="M67" s="2">
        <f>IF(L$4=$E67, $I67*L$55,0) + IF(L$4&gt;$E67,MIN(L67,$I67-SUM($J67:L67)))</f>
        <v>2.0970910565285341</v>
      </c>
      <c r="N67" s="2">
        <f>IF(M$4=$E67, $I67*M$55,0) + IF(M$4&gt;$E67,MIN(M67,$I67-SUM($J67:M67)))</f>
        <v>2.0970910565285341</v>
      </c>
      <c r="O67" s="2">
        <f>IF(N$4=$E67, $I67*N$55,0) + IF(N$4&gt;$E67,MIN(N67,$I67-SUM($J67:N67)))</f>
        <v>2.0970910565285341</v>
      </c>
      <c r="P67" s="2">
        <f>IF(O$4=$E67, $I67*O$55,0) + IF(O$4&gt;$E67,MIN(O67,$I67-SUM($J67:O67)))</f>
        <v>2.0970910565285341</v>
      </c>
      <c r="Q67" s="2">
        <f>IF(P$4=$E67, $I67*P$55,0) + IF(P$4&gt;$E67,MIN(P67,$I67-SUM($J67:P67)))</f>
        <v>2.0970910565285341</v>
      </c>
      <c r="R67" s="2">
        <f>IF(Q$4=$E67, $I67*Q$55,0) + IF(Q$4&gt;$E67,MIN(Q67,$I67-SUM($J67:Q67)))</f>
        <v>2.0970910565285341</v>
      </c>
      <c r="S67" s="2">
        <f>IF(R$4=$E67, $I67*R$55,0) + IF(R$4&gt;$E67,MIN(R67,$I67-SUM($J67:R67)))</f>
        <v>2.0970910565285341</v>
      </c>
      <c r="T67" s="2">
        <f>IF(S$4=$E67, $I67*S$55,0) + IF(S$4&gt;$E67,MIN(S67,$I67-SUM($J67:S67)))</f>
        <v>2.0970910565285341</v>
      </c>
      <c r="U67" s="2">
        <f>IF(T$4=$E67, $I67*T$55,0) + IF(T$4&gt;$E67,MIN(T67,$I67-SUM($J67:T67)))</f>
        <v>2.0970910565285341</v>
      </c>
      <c r="V67" s="2">
        <f>IF(U$4=$E67, $I67*U$55,0) + IF(U$4&gt;$E67,MIN(U67,$I67-SUM($J67:U67)))</f>
        <v>2.0970910565285341</v>
      </c>
      <c r="W67" s="2">
        <f>IF(V$4=$E67, $I67*V$55,0) + IF(V$4&gt;$E67,MIN(V67,$I67-SUM($J67:V67)))</f>
        <v>2.0970910565285341</v>
      </c>
      <c r="X67" s="2">
        <f>IF(W$4=$E67, $I67*W$55,0) + IF(W$4&gt;$E67,MIN(W67,$I67-SUM($J67:W67)))</f>
        <v>2.0970910565285341</v>
      </c>
      <c r="Y67" s="2">
        <f>IF(X$4=$E67, $I67*X$55,0) + IF(X$4&gt;$E67,MIN(X67,$I67-SUM($J67:X67)))</f>
        <v>2.0970910565285341</v>
      </c>
      <c r="Z67" s="2">
        <f>IF(Y$4=$E67, $I67*Y$55,0) + IF(Y$4&gt;$E67,MIN(Y67,$I67-SUM($J67:Y67)))</f>
        <v>2.0970910565285341</v>
      </c>
      <c r="AA67" s="2">
        <f>IF(Z$4=$E67, $I67*Z$55,0) + IF(Z$4&gt;$E67,MIN(Z67,$I67-SUM($J67:Z67)))</f>
        <v>2.0970910565285341</v>
      </c>
      <c r="AB67" s="2">
        <f>IF(AA$4=$E67, $I67*AA$55,0) + IF(AA$4&gt;$E67,MIN(AA67,$I67-SUM($J67:AA67)))</f>
        <v>2.0970910565285341</v>
      </c>
      <c r="AC67" s="2">
        <f>IF(AB$4=$E67, $I67*AB$55,0) + IF(AB$4&gt;$E67,MIN(AB67,$I67-SUM($J67:AB67)))</f>
        <v>2.0970910565285341</v>
      </c>
      <c r="AD67" s="2">
        <f>IF(AC$4=$E67, $I67*AC$55,0) + IF(AC$4&gt;$E67,MIN(AC67,$I67-SUM($J67:AC67)))</f>
        <v>2.0970910565285341</v>
      </c>
      <c r="AE67" s="2">
        <f>IF(AD$4=$E67, $I67*AD$55,0) + IF(AD$4&gt;$E67,MIN(AD67,$I67-SUM($J67:AD67)))</f>
        <v>2.0970910565285341</v>
      </c>
      <c r="AF67" s="2">
        <f>IF(AE$4=$E67, $I67*AE$55,0) + IF(AE$4&gt;$E67,MIN(AE67,$I67-SUM($J67:AE67)))</f>
        <v>2.0970910565285341</v>
      </c>
      <c r="AG67" s="2">
        <f>IF(AF$4=$E67, $I67*AF$55,0) + IF(AF$4&gt;$E67,MIN(AF67,$I67-SUM($J67:AF67)))</f>
        <v>2.0970910565285341</v>
      </c>
      <c r="AH67" s="2">
        <f>IF(AG$4=$E67, $I67*AG$55,0) + IF(AG$4&gt;$E67,MIN(AG67,$I67-SUM($J67:AG67)))</f>
        <v>2.0970910565285341</v>
      </c>
      <c r="AI67" s="2">
        <f>IF(AH$4=$E67, $I67*AH$55,0) + IF(AH$4&gt;$E67,MIN(AH67,$I67-SUM($J67:AH67)))</f>
        <v>2.0970910565285341</v>
      </c>
      <c r="AJ67" s="2">
        <f>IF(AI$4=$E67, $I67*AI$55,0) + IF(AI$4&gt;$E67,MIN(AI67,$I67-SUM($J67:AI67)))</f>
        <v>2.0970910565285341</v>
      </c>
      <c r="AK67" s="2">
        <f>IF(AJ$4=$E67, $I67*AJ$55,0) + IF(AJ$4&gt;$E67,MIN(AJ67,$I67-SUM($J67:AJ67)))</f>
        <v>2.0970910565285341</v>
      </c>
      <c r="AL67" s="2">
        <f>IF(AK$4=$E67, $I67*AK$55,0) + IF(AK$4&gt;$E67,MIN(AK67,$I67-SUM($J67:AK67)))</f>
        <v>2.0970910565285341</v>
      </c>
      <c r="AM67" s="2">
        <f>IF(AL$4=$E67, $I67*AL$55,0) + IF(AL$4&gt;$E67,MIN(AL67,$I67-SUM($J67:AL67)))</f>
        <v>2.0970910565285341</v>
      </c>
      <c r="AN67" s="2">
        <f>IF(AM$4=$E67, $I67*AM$55,0) + IF(AM$4&gt;$E67,MIN(AM67,$I67-SUM($J67:AM67)))</f>
        <v>2.0970910565285341</v>
      </c>
      <c r="AO67" s="2">
        <f>IF(AN$4=$E67, $I67*AN$55,0) + IF(AN$4&gt;$E67,MIN(AN67,$I67-SUM($J67:AN67)))</f>
        <v>2.0970910565285341</v>
      </c>
      <c r="AP67" s="2">
        <f>IF(AO$4=$E67, $I67*AO$55,0) + IF(AO$4&gt;$E67,MIN(AO67,$I67-SUM($J67:AO67)))</f>
        <v>2.0970910565285341</v>
      </c>
      <c r="AQ67" s="57">
        <f>IF(AP$4=$E67, $I67*AP$55,0) + IF(AP$4&gt;$E67,MIN(AP67,$I67-SUM($J67:AP67)))</f>
        <v>2.0970910565285341</v>
      </c>
      <c r="AR67" s="2">
        <f>IF(AQ$4=$E67, $I67*AQ$55,0) + IF(AQ$4&gt;$E67,MIN(AQ67,$I67-SUM($J67:AQ67)))</f>
        <v>2.0970910565285341</v>
      </c>
      <c r="AS67" s="2">
        <f>IF(AR$4=$E67, $I67*AR$55,0) + IF(AR$4&gt;$E67,MIN(AR67,$I67-SUM($J67:AR67)))</f>
        <v>2.0970910565285341</v>
      </c>
      <c r="AT67" s="2">
        <f>IF(AS$4=$E67, $I67*AS$55,0) + IF(AS$4&gt;$E67,MIN(AS67,$I67-SUM($J67:AS67)))</f>
        <v>0.62912731695854518</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144.48234244634517</v>
      </c>
      <c r="K68" s="2">
        <f>IF(J$4=$E68, $I68*J$55,0) + IF(J$4&gt;$E68,MIN(J68,$I68-SUM($J68:J68)))</f>
        <v>0</v>
      </c>
      <c r="L68" s="2">
        <f>IF(K$4=$E68, $I68*K$55,0) + IF(K$4&gt;$E68,MIN(K68,$I68-SUM($J68:K68)))</f>
        <v>0</v>
      </c>
      <c r="M68" s="2">
        <f>IF(L$4=$E68, $I68*L$55,0) + IF(L$4&gt;$E68,MIN(L68,$I68-SUM($J68:L68)))</f>
        <v>0</v>
      </c>
      <c r="N68" s="2">
        <f>IF(M$4=$E68, $I68*M$55,0) + IF(M$4&gt;$E68,MIN(M68,$I68-SUM($J68:M68)))</f>
        <v>4.338809082472828</v>
      </c>
      <c r="O68" s="2">
        <f>IF(N$4=$E68, $I68*N$55,0) + IF(N$4&gt;$E68,MIN(N68,$I68-SUM($J68:N68)))</f>
        <v>4.338809082472828</v>
      </c>
      <c r="P68" s="2">
        <f>IF(O$4=$E68, $I68*O$55,0) + IF(O$4&gt;$E68,MIN(O68,$I68-SUM($J68:O68)))</f>
        <v>4.338809082472828</v>
      </c>
      <c r="Q68" s="2">
        <f>IF(P$4=$E68, $I68*P$55,0) + IF(P$4&gt;$E68,MIN(P68,$I68-SUM($J68:P68)))</f>
        <v>4.338809082472828</v>
      </c>
      <c r="R68" s="2">
        <f>IF(Q$4=$E68, $I68*Q$55,0) + IF(Q$4&gt;$E68,MIN(Q68,$I68-SUM($J68:Q68)))</f>
        <v>4.338809082472828</v>
      </c>
      <c r="S68" s="2">
        <f>IF(R$4=$E68, $I68*R$55,0) + IF(R$4&gt;$E68,MIN(R68,$I68-SUM($J68:R68)))</f>
        <v>4.338809082472828</v>
      </c>
      <c r="T68" s="2">
        <f>IF(S$4=$E68, $I68*S$55,0) + IF(S$4&gt;$E68,MIN(S68,$I68-SUM($J68:S68)))</f>
        <v>4.338809082472828</v>
      </c>
      <c r="U68" s="2">
        <f>IF(T$4=$E68, $I68*T$55,0) + IF(T$4&gt;$E68,MIN(T68,$I68-SUM($J68:T68)))</f>
        <v>4.338809082472828</v>
      </c>
      <c r="V68" s="2">
        <f>IF(U$4=$E68, $I68*U$55,0) + IF(U$4&gt;$E68,MIN(U68,$I68-SUM($J68:U68)))</f>
        <v>4.338809082472828</v>
      </c>
      <c r="W68" s="2">
        <f>IF(V$4=$E68, $I68*V$55,0) + IF(V$4&gt;$E68,MIN(V68,$I68-SUM($J68:V68)))</f>
        <v>4.338809082472828</v>
      </c>
      <c r="X68" s="2">
        <f>IF(W$4=$E68, $I68*W$55,0) + IF(W$4&gt;$E68,MIN(W68,$I68-SUM($J68:W68)))</f>
        <v>4.338809082472828</v>
      </c>
      <c r="Y68" s="2">
        <f>IF(X$4=$E68, $I68*X$55,0) + IF(X$4&gt;$E68,MIN(X68,$I68-SUM($J68:X68)))</f>
        <v>4.338809082472828</v>
      </c>
      <c r="Z68" s="2">
        <f>IF(Y$4=$E68, $I68*Y$55,0) + IF(Y$4&gt;$E68,MIN(Y68,$I68-SUM($J68:Y68)))</f>
        <v>4.338809082472828</v>
      </c>
      <c r="AA68" s="2">
        <f>IF(Z$4=$E68, $I68*Z$55,0) + IF(Z$4&gt;$E68,MIN(Z68,$I68-SUM($J68:Z68)))</f>
        <v>4.338809082472828</v>
      </c>
      <c r="AB68" s="2">
        <f>IF(AA$4=$E68, $I68*AA$55,0) + IF(AA$4&gt;$E68,MIN(AA68,$I68-SUM($J68:AA68)))</f>
        <v>4.338809082472828</v>
      </c>
      <c r="AC68" s="2">
        <f>IF(AB$4=$E68, $I68*AB$55,0) + IF(AB$4&gt;$E68,MIN(AB68,$I68-SUM($J68:AB68)))</f>
        <v>4.338809082472828</v>
      </c>
      <c r="AD68" s="2">
        <f>IF(AC$4=$E68, $I68*AC$55,0) + IF(AC$4&gt;$E68,MIN(AC68,$I68-SUM($J68:AC68)))</f>
        <v>4.338809082472828</v>
      </c>
      <c r="AE68" s="2">
        <f>IF(AD$4=$E68, $I68*AD$55,0) + IF(AD$4&gt;$E68,MIN(AD68,$I68-SUM($J68:AD68)))</f>
        <v>4.338809082472828</v>
      </c>
      <c r="AF68" s="2">
        <f>IF(AE$4=$E68, $I68*AE$55,0) + IF(AE$4&gt;$E68,MIN(AE68,$I68-SUM($J68:AE68)))</f>
        <v>4.338809082472828</v>
      </c>
      <c r="AG68" s="2">
        <f>IF(AF$4=$E68, $I68*AF$55,0) + IF(AF$4&gt;$E68,MIN(AF68,$I68-SUM($J68:AF68)))</f>
        <v>4.338809082472828</v>
      </c>
      <c r="AH68" s="2">
        <f>IF(AG$4=$E68, $I68*AG$55,0) + IF(AG$4&gt;$E68,MIN(AG68,$I68-SUM($J68:AG68)))</f>
        <v>4.338809082472828</v>
      </c>
      <c r="AI68" s="2">
        <f>IF(AH$4=$E68, $I68*AH$55,0) + IF(AH$4&gt;$E68,MIN(AH68,$I68-SUM($J68:AH68)))</f>
        <v>4.338809082472828</v>
      </c>
      <c r="AJ68" s="2">
        <f>IF(AI$4=$E68, $I68*AI$55,0) + IF(AI$4&gt;$E68,MIN(AI68,$I68-SUM($J68:AI68)))</f>
        <v>4.338809082472828</v>
      </c>
      <c r="AK68" s="2">
        <f>IF(AJ$4=$E68, $I68*AJ$55,0) + IF(AJ$4&gt;$E68,MIN(AJ68,$I68-SUM($J68:AJ68)))</f>
        <v>4.338809082472828</v>
      </c>
      <c r="AL68" s="2">
        <f>IF(AK$4=$E68, $I68*AK$55,0) + IF(AK$4&gt;$E68,MIN(AK68,$I68-SUM($J68:AK68)))</f>
        <v>4.338809082472828</v>
      </c>
      <c r="AM68" s="2">
        <f>IF(AL$4=$E68, $I68*AL$55,0) + IF(AL$4&gt;$E68,MIN(AL68,$I68-SUM($J68:AL68)))</f>
        <v>4.338809082472828</v>
      </c>
      <c r="AN68" s="2">
        <f>IF(AM$4=$E68, $I68*AM$55,0) + IF(AM$4&gt;$E68,MIN(AM68,$I68-SUM($J68:AM68)))</f>
        <v>4.338809082472828</v>
      </c>
      <c r="AO68" s="2">
        <f>IF(AN$4=$E68, $I68*AN$55,0) + IF(AN$4&gt;$E68,MIN(AN68,$I68-SUM($J68:AN68)))</f>
        <v>4.338809082472828</v>
      </c>
      <c r="AP68" s="2">
        <f>IF(AO$4=$E68, $I68*AO$55,0) + IF(AO$4&gt;$E68,MIN(AO68,$I68-SUM($J68:AO68)))</f>
        <v>4.338809082472828</v>
      </c>
      <c r="AQ68" s="57">
        <f>IF(AP$4=$E68, $I68*AP$55,0) + IF(AP$4&gt;$E68,MIN(AP68,$I68-SUM($J68:AP68)))</f>
        <v>4.338809082472828</v>
      </c>
      <c r="AR68" s="2">
        <f>IF(AQ$4=$E68, $I68*AQ$55,0) + IF(AQ$4&gt;$E68,MIN(AQ68,$I68-SUM($J68:AQ68)))</f>
        <v>4.338809082472828</v>
      </c>
      <c r="AS68" s="2">
        <f>IF(AR$4=$E68, $I68*AR$55,0) + IF(AR$4&gt;$E68,MIN(AR68,$I68-SUM($J68:AR68)))</f>
        <v>4.338809082472828</v>
      </c>
      <c r="AT68" s="2">
        <f>IF(AS$4=$E68, $I68*AS$55,0) + IF(AS$4&gt;$E68,MIN(AS68,$I68-SUM($J68:AS68)))</f>
        <v>4.338809082472828</v>
      </c>
      <c r="AU68" s="2">
        <f>IF(AT$4=$E68, $I68*AT$55,0) + IF(AT$4&gt;$E68,MIN(AT68,$I68-SUM($J68:AT68)))</f>
        <v>1.3016427247417255</v>
      </c>
      <c r="AV68" s="2">
        <f>IF(AU$4=$E68, $I68*AU$55,0) + IF(AU$4&gt;$E68,MIN(AU68,$I68-SUM($J68:AU68)))</f>
        <v>0</v>
      </c>
      <c r="AW68" s="2"/>
    </row>
    <row r="69" spans="5:49" ht="15" outlineLevel="1">
      <c r="E69" s="44">
        <f>INDEX($K$4:$AV$4,,COUNT(E$65:E68)+1)</f>
        <v>34424</v>
      </c>
      <c r="G69" s="2" t="s">
        <v>105</v>
      </c>
      <c r="I69" s="2">
        <f t="shared" si="62"/>
        <v>130.21934197407776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3.9104907499723058</v>
      </c>
      <c r="P69" s="2">
        <f>IF(O$4=$E69, $I69*O$55,0) + IF(O$4&gt;$E69,MIN(O69,$I69-SUM($J69:O69)))</f>
        <v>3.9104907499723058</v>
      </c>
      <c r="Q69" s="2">
        <f>IF(P$4=$E69, $I69*P$55,0) + IF(P$4&gt;$E69,MIN(P69,$I69-SUM($J69:P69)))</f>
        <v>3.9104907499723058</v>
      </c>
      <c r="R69" s="2">
        <f>IF(Q$4=$E69, $I69*Q$55,0) + IF(Q$4&gt;$E69,MIN(Q69,$I69-SUM($J69:Q69)))</f>
        <v>3.9104907499723058</v>
      </c>
      <c r="S69" s="2">
        <f>IF(R$4=$E69, $I69*R$55,0) + IF(R$4&gt;$E69,MIN(R69,$I69-SUM($J69:R69)))</f>
        <v>3.9104907499723058</v>
      </c>
      <c r="T69" s="2">
        <f>IF(S$4=$E69, $I69*S$55,0) + IF(S$4&gt;$E69,MIN(S69,$I69-SUM($J69:S69)))</f>
        <v>3.9104907499723058</v>
      </c>
      <c r="U69" s="2">
        <f>IF(T$4=$E69, $I69*T$55,0) + IF(T$4&gt;$E69,MIN(T69,$I69-SUM($J69:T69)))</f>
        <v>3.9104907499723058</v>
      </c>
      <c r="V69" s="2">
        <f>IF(U$4=$E69, $I69*U$55,0) + IF(U$4&gt;$E69,MIN(U69,$I69-SUM($J69:U69)))</f>
        <v>3.9104907499723058</v>
      </c>
      <c r="W69" s="2">
        <f>IF(V$4=$E69, $I69*V$55,0) + IF(V$4&gt;$E69,MIN(V69,$I69-SUM($J69:V69)))</f>
        <v>3.9104907499723058</v>
      </c>
      <c r="X69" s="2">
        <f>IF(W$4=$E69, $I69*W$55,0) + IF(W$4&gt;$E69,MIN(W69,$I69-SUM($J69:W69)))</f>
        <v>3.9104907499723058</v>
      </c>
      <c r="Y69" s="2">
        <f>IF(X$4=$E69, $I69*X$55,0) + IF(X$4&gt;$E69,MIN(X69,$I69-SUM($J69:X69)))</f>
        <v>3.9104907499723058</v>
      </c>
      <c r="Z69" s="2">
        <f>IF(Y$4=$E69, $I69*Y$55,0) + IF(Y$4&gt;$E69,MIN(Y69,$I69-SUM($J69:Y69)))</f>
        <v>3.9104907499723058</v>
      </c>
      <c r="AA69" s="2">
        <f>IF(Z$4=$E69, $I69*Z$55,0) + IF(Z$4&gt;$E69,MIN(Z69,$I69-SUM($J69:Z69)))</f>
        <v>3.9104907499723058</v>
      </c>
      <c r="AB69" s="2">
        <f>IF(AA$4=$E69, $I69*AA$55,0) + IF(AA$4&gt;$E69,MIN(AA69,$I69-SUM($J69:AA69)))</f>
        <v>3.9104907499723058</v>
      </c>
      <c r="AC69" s="2">
        <f>IF(AB$4=$E69, $I69*AB$55,0) + IF(AB$4&gt;$E69,MIN(AB69,$I69-SUM($J69:AB69)))</f>
        <v>3.9104907499723058</v>
      </c>
      <c r="AD69" s="2">
        <f>IF(AC$4=$E69, $I69*AC$55,0) + IF(AC$4&gt;$E69,MIN(AC69,$I69-SUM($J69:AC69)))</f>
        <v>3.9104907499723058</v>
      </c>
      <c r="AE69" s="2">
        <f>IF(AD$4=$E69, $I69*AD$55,0) + IF(AD$4&gt;$E69,MIN(AD69,$I69-SUM($J69:AD69)))</f>
        <v>3.9104907499723058</v>
      </c>
      <c r="AF69" s="2">
        <f>IF(AE$4=$E69, $I69*AE$55,0) + IF(AE$4&gt;$E69,MIN(AE69,$I69-SUM($J69:AE69)))</f>
        <v>3.9104907499723058</v>
      </c>
      <c r="AG69" s="2">
        <f>IF(AF$4=$E69, $I69*AF$55,0) + IF(AF$4&gt;$E69,MIN(AF69,$I69-SUM($J69:AF69)))</f>
        <v>3.9104907499723058</v>
      </c>
      <c r="AH69" s="2">
        <f>IF(AG$4=$E69, $I69*AG$55,0) + IF(AG$4&gt;$E69,MIN(AG69,$I69-SUM($J69:AG69)))</f>
        <v>3.9104907499723058</v>
      </c>
      <c r="AI69" s="2">
        <f>IF(AH$4=$E69, $I69*AH$55,0) + IF(AH$4&gt;$E69,MIN(AH69,$I69-SUM($J69:AH69)))</f>
        <v>3.9104907499723058</v>
      </c>
      <c r="AJ69" s="2">
        <f>IF(AI$4=$E69, $I69*AI$55,0) + IF(AI$4&gt;$E69,MIN(AI69,$I69-SUM($J69:AI69)))</f>
        <v>3.9104907499723058</v>
      </c>
      <c r="AK69" s="2">
        <f>IF(AJ$4=$E69, $I69*AJ$55,0) + IF(AJ$4&gt;$E69,MIN(AJ69,$I69-SUM($J69:AJ69)))</f>
        <v>3.9104907499723058</v>
      </c>
      <c r="AL69" s="2">
        <f>IF(AK$4=$E69, $I69*AK$55,0) + IF(AK$4&gt;$E69,MIN(AK69,$I69-SUM($J69:AK69)))</f>
        <v>3.9104907499723058</v>
      </c>
      <c r="AM69" s="2">
        <f>IF(AL$4=$E69, $I69*AL$55,0) + IF(AL$4&gt;$E69,MIN(AL69,$I69-SUM($J69:AL69)))</f>
        <v>3.9104907499723058</v>
      </c>
      <c r="AN69" s="2">
        <f>IF(AM$4=$E69, $I69*AM$55,0) + IF(AM$4&gt;$E69,MIN(AM69,$I69-SUM($J69:AM69)))</f>
        <v>3.9104907499723058</v>
      </c>
      <c r="AO69" s="2">
        <f>IF(AN$4=$E69, $I69*AN$55,0) + IF(AN$4&gt;$E69,MIN(AN69,$I69-SUM($J69:AN69)))</f>
        <v>3.9104907499723058</v>
      </c>
      <c r="AP69" s="2">
        <f>IF(AO$4=$E69, $I69*AO$55,0) + IF(AO$4&gt;$E69,MIN(AO69,$I69-SUM($J69:AO69)))</f>
        <v>3.9104907499723058</v>
      </c>
      <c r="AQ69" s="57">
        <f>IF(AP$4=$E69, $I69*AP$55,0) + IF(AP$4&gt;$E69,MIN(AP69,$I69-SUM($J69:AP69)))</f>
        <v>3.9104907499723058</v>
      </c>
      <c r="AR69" s="2">
        <f>IF(AQ$4=$E69, $I69*AQ$55,0) + IF(AQ$4&gt;$E69,MIN(AQ69,$I69-SUM($J69:AQ69)))</f>
        <v>3.9104907499723058</v>
      </c>
      <c r="AS69" s="2">
        <f>IF(AR$4=$E69, $I69*AR$55,0) + IF(AR$4&gt;$E69,MIN(AR69,$I69-SUM($J69:AR69)))</f>
        <v>3.9104907499723058</v>
      </c>
      <c r="AT69" s="2">
        <f>IF(AS$4=$E69, $I69*AS$55,0) + IF(AS$4&gt;$E69,MIN(AS69,$I69-SUM($J69:AS69)))</f>
        <v>3.9104907499723058</v>
      </c>
      <c r="AU69" s="2">
        <f>IF(AT$4=$E69, $I69*AT$55,0) + IF(AT$4&gt;$E69,MIN(AT69,$I69-SUM($J69:AT69)))</f>
        <v>3.9104907499723058</v>
      </c>
      <c r="AV69" s="2">
        <f>IF(AU$4=$E69, $I69*AU$55,0) + IF(AU$4&gt;$E69,MIN(AU69,$I69-SUM($J69:AU69)))</f>
        <v>1.1731472249916237</v>
      </c>
      <c r="AW69" s="2"/>
    </row>
    <row r="70" spans="5:49" ht="15" outlineLevel="1">
      <c r="E70" s="44">
        <f>INDEX($K$4:$AV$4,,COUNT(E$65:E69)+1)</f>
        <v>34789</v>
      </c>
      <c r="G70" s="2" t="s">
        <v>105</v>
      </c>
      <c r="I70" s="2">
        <f t="shared" si="62"/>
        <v>129.10793933987514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3.8771152954917465</v>
      </c>
      <c r="Q70" s="2">
        <f>IF(P$4=$E70, $I70*P$55,0) + IF(P$4&gt;$E70,MIN(P70,$I70-SUM($J70:P70)))</f>
        <v>3.8771152954917465</v>
      </c>
      <c r="R70" s="2">
        <f>IF(Q$4=$E70, $I70*Q$55,0) + IF(Q$4&gt;$E70,MIN(Q70,$I70-SUM($J70:Q70)))</f>
        <v>3.8771152954917465</v>
      </c>
      <c r="S70" s="2">
        <f>IF(R$4=$E70, $I70*R$55,0) + IF(R$4&gt;$E70,MIN(R70,$I70-SUM($J70:R70)))</f>
        <v>3.8771152954917465</v>
      </c>
      <c r="T70" s="2">
        <f>IF(S$4=$E70, $I70*S$55,0) + IF(S$4&gt;$E70,MIN(S70,$I70-SUM($J70:S70)))</f>
        <v>3.8771152954917465</v>
      </c>
      <c r="U70" s="2">
        <f>IF(T$4=$E70, $I70*T$55,0) + IF(T$4&gt;$E70,MIN(T70,$I70-SUM($J70:T70)))</f>
        <v>3.8771152954917465</v>
      </c>
      <c r="V70" s="2">
        <f>IF(U$4=$E70, $I70*U$55,0) + IF(U$4&gt;$E70,MIN(U70,$I70-SUM($J70:U70)))</f>
        <v>3.8771152954917465</v>
      </c>
      <c r="W70" s="2">
        <f>IF(V$4=$E70, $I70*V$55,0) + IF(V$4&gt;$E70,MIN(V70,$I70-SUM($J70:V70)))</f>
        <v>3.8771152954917465</v>
      </c>
      <c r="X70" s="2">
        <f>IF(W$4=$E70, $I70*W$55,0) + IF(W$4&gt;$E70,MIN(W70,$I70-SUM($J70:W70)))</f>
        <v>3.8771152954917465</v>
      </c>
      <c r="Y70" s="2">
        <f>IF(X$4=$E70, $I70*X$55,0) + IF(X$4&gt;$E70,MIN(X70,$I70-SUM($J70:X70)))</f>
        <v>3.8771152954917465</v>
      </c>
      <c r="Z70" s="2">
        <f>IF(Y$4=$E70, $I70*Y$55,0) + IF(Y$4&gt;$E70,MIN(Y70,$I70-SUM($J70:Y70)))</f>
        <v>3.8771152954917465</v>
      </c>
      <c r="AA70" s="2">
        <f>IF(Z$4=$E70, $I70*Z$55,0) + IF(Z$4&gt;$E70,MIN(Z70,$I70-SUM($J70:Z70)))</f>
        <v>3.8771152954917465</v>
      </c>
      <c r="AB70" s="2">
        <f>IF(AA$4=$E70, $I70*AA$55,0) + IF(AA$4&gt;$E70,MIN(AA70,$I70-SUM($J70:AA70)))</f>
        <v>3.8771152954917465</v>
      </c>
      <c r="AC70" s="2">
        <f>IF(AB$4=$E70, $I70*AB$55,0) + IF(AB$4&gt;$E70,MIN(AB70,$I70-SUM($J70:AB70)))</f>
        <v>3.8771152954917465</v>
      </c>
      <c r="AD70" s="2">
        <f>IF(AC$4=$E70, $I70*AC$55,0) + IF(AC$4&gt;$E70,MIN(AC70,$I70-SUM($J70:AC70)))</f>
        <v>3.8771152954917465</v>
      </c>
      <c r="AE70" s="2">
        <f>IF(AD$4=$E70, $I70*AD$55,0) + IF(AD$4&gt;$E70,MIN(AD70,$I70-SUM($J70:AD70)))</f>
        <v>3.8771152954917465</v>
      </c>
      <c r="AF70" s="2">
        <f>IF(AE$4=$E70, $I70*AE$55,0) + IF(AE$4&gt;$E70,MIN(AE70,$I70-SUM($J70:AE70)))</f>
        <v>3.8771152954917465</v>
      </c>
      <c r="AG70" s="2">
        <f>IF(AF$4=$E70, $I70*AF$55,0) + IF(AF$4&gt;$E70,MIN(AF70,$I70-SUM($J70:AF70)))</f>
        <v>3.8771152954917465</v>
      </c>
      <c r="AH70" s="2">
        <f>IF(AG$4=$E70, $I70*AG$55,0) + IF(AG$4&gt;$E70,MIN(AG70,$I70-SUM($J70:AG70)))</f>
        <v>3.8771152954917465</v>
      </c>
      <c r="AI70" s="2">
        <f>IF(AH$4=$E70, $I70*AH$55,0) + IF(AH$4&gt;$E70,MIN(AH70,$I70-SUM($J70:AH70)))</f>
        <v>3.8771152954917465</v>
      </c>
      <c r="AJ70" s="2">
        <f>IF(AI$4=$E70, $I70*AI$55,0) + IF(AI$4&gt;$E70,MIN(AI70,$I70-SUM($J70:AI70)))</f>
        <v>3.8771152954917465</v>
      </c>
      <c r="AK70" s="2">
        <f>IF(AJ$4=$E70, $I70*AJ$55,0) + IF(AJ$4&gt;$E70,MIN(AJ70,$I70-SUM($J70:AJ70)))</f>
        <v>3.8771152954917465</v>
      </c>
      <c r="AL70" s="2">
        <f>IF(AK$4=$E70, $I70*AK$55,0) + IF(AK$4&gt;$E70,MIN(AK70,$I70-SUM($J70:AK70)))</f>
        <v>3.8771152954917465</v>
      </c>
      <c r="AM70" s="2">
        <f>IF(AL$4=$E70, $I70*AL$55,0) + IF(AL$4&gt;$E70,MIN(AL70,$I70-SUM($J70:AL70)))</f>
        <v>3.8771152954917465</v>
      </c>
      <c r="AN70" s="2">
        <f>IF(AM$4=$E70, $I70*AM$55,0) + IF(AM$4&gt;$E70,MIN(AM70,$I70-SUM($J70:AM70)))</f>
        <v>3.8771152954917465</v>
      </c>
      <c r="AO70" s="2">
        <f>IF(AN$4=$E70, $I70*AN$55,0) + IF(AN$4&gt;$E70,MIN(AN70,$I70-SUM($J70:AN70)))</f>
        <v>3.8771152954917465</v>
      </c>
      <c r="AP70" s="2">
        <f>IF(AO$4=$E70, $I70*AO$55,0) + IF(AO$4&gt;$E70,MIN(AO70,$I70-SUM($J70:AO70)))</f>
        <v>3.8771152954917465</v>
      </c>
      <c r="AQ70" s="57">
        <f>IF(AP$4=$E70, $I70*AP$55,0) + IF(AP$4&gt;$E70,MIN(AP70,$I70-SUM($J70:AP70)))</f>
        <v>3.8771152954917465</v>
      </c>
      <c r="AR70" s="2">
        <f>IF(AQ$4=$E70, $I70*AQ$55,0) + IF(AQ$4&gt;$E70,MIN(AQ70,$I70-SUM($J70:AQ70)))</f>
        <v>3.8771152954917465</v>
      </c>
      <c r="AS70" s="2">
        <f>IF(AR$4=$E70, $I70*AR$55,0) + IF(AR$4&gt;$E70,MIN(AR70,$I70-SUM($J70:AR70)))</f>
        <v>3.8771152954917465</v>
      </c>
      <c r="AT70" s="2">
        <f>IF(AS$4=$E70, $I70*AS$55,0) + IF(AS$4&gt;$E70,MIN(AS70,$I70-SUM($J70:AS70)))</f>
        <v>3.8771152954917465</v>
      </c>
      <c r="AU70" s="2">
        <f>IF(AT$4=$E70, $I70*AT$55,0) + IF(AT$4&gt;$E70,MIN(AT70,$I70-SUM($J70:AT70)))</f>
        <v>3.8771152954917465</v>
      </c>
      <c r="AV70" s="2">
        <f>IF(AU$4=$E70, $I70*AU$55,0) + IF(AU$4&gt;$E70,MIN(AU70,$I70-SUM($J70:AU70)))</f>
        <v>3.8771152954917465</v>
      </c>
      <c r="AW70" s="2"/>
    </row>
    <row r="71" spans="5:49" ht="15" outlineLevel="1">
      <c r="E71" s="44">
        <f>INDEX($K$4:$AV$4,,COUNT(E$65:E70)+1)</f>
        <v>35155</v>
      </c>
      <c r="G71" s="2" t="s">
        <v>105</v>
      </c>
      <c r="I71" s="2">
        <f t="shared" si="62"/>
        <v>132.25691347011596</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3.971679083186666</v>
      </c>
      <c r="R71" s="2">
        <f>IF(Q$4=$E71, $I71*Q$55,0) + IF(Q$4&gt;$E71,MIN(Q71,$I71-SUM($J71:Q71)))</f>
        <v>3.971679083186666</v>
      </c>
      <c r="S71" s="2">
        <f>IF(R$4=$E71, $I71*R$55,0) + IF(R$4&gt;$E71,MIN(R71,$I71-SUM($J71:R71)))</f>
        <v>3.971679083186666</v>
      </c>
      <c r="T71" s="2">
        <f>IF(S$4=$E71, $I71*S$55,0) + IF(S$4&gt;$E71,MIN(S71,$I71-SUM($J71:S71)))</f>
        <v>3.971679083186666</v>
      </c>
      <c r="U71" s="2">
        <f>IF(T$4=$E71, $I71*T$55,0) + IF(T$4&gt;$E71,MIN(T71,$I71-SUM($J71:T71)))</f>
        <v>3.971679083186666</v>
      </c>
      <c r="V71" s="2">
        <f>IF(U$4=$E71, $I71*U$55,0) + IF(U$4&gt;$E71,MIN(U71,$I71-SUM($J71:U71)))</f>
        <v>3.971679083186666</v>
      </c>
      <c r="W71" s="2">
        <f>IF(V$4=$E71, $I71*V$55,0) + IF(V$4&gt;$E71,MIN(V71,$I71-SUM($J71:V71)))</f>
        <v>3.971679083186666</v>
      </c>
      <c r="X71" s="2">
        <f>IF(W$4=$E71, $I71*W$55,0) + IF(W$4&gt;$E71,MIN(W71,$I71-SUM($J71:W71)))</f>
        <v>3.971679083186666</v>
      </c>
      <c r="Y71" s="2">
        <f>IF(X$4=$E71, $I71*X$55,0) + IF(X$4&gt;$E71,MIN(X71,$I71-SUM($J71:X71)))</f>
        <v>3.971679083186666</v>
      </c>
      <c r="Z71" s="2">
        <f>IF(Y$4=$E71, $I71*Y$55,0) + IF(Y$4&gt;$E71,MIN(Y71,$I71-SUM($J71:Y71)))</f>
        <v>3.971679083186666</v>
      </c>
      <c r="AA71" s="2">
        <f>IF(Z$4=$E71, $I71*Z$55,0) + IF(Z$4&gt;$E71,MIN(Z71,$I71-SUM($J71:Z71)))</f>
        <v>3.971679083186666</v>
      </c>
      <c r="AB71" s="2">
        <f>IF(AA$4=$E71, $I71*AA$55,0) + IF(AA$4&gt;$E71,MIN(AA71,$I71-SUM($J71:AA71)))</f>
        <v>3.971679083186666</v>
      </c>
      <c r="AC71" s="2">
        <f>IF(AB$4=$E71, $I71*AB$55,0) + IF(AB$4&gt;$E71,MIN(AB71,$I71-SUM($J71:AB71)))</f>
        <v>3.971679083186666</v>
      </c>
      <c r="AD71" s="2">
        <f>IF(AC$4=$E71, $I71*AC$55,0) + IF(AC$4&gt;$E71,MIN(AC71,$I71-SUM($J71:AC71)))</f>
        <v>3.971679083186666</v>
      </c>
      <c r="AE71" s="2">
        <f>IF(AD$4=$E71, $I71*AD$55,0) + IF(AD$4&gt;$E71,MIN(AD71,$I71-SUM($J71:AD71)))</f>
        <v>3.971679083186666</v>
      </c>
      <c r="AF71" s="2">
        <f>IF(AE$4=$E71, $I71*AE$55,0) + IF(AE$4&gt;$E71,MIN(AE71,$I71-SUM($J71:AE71)))</f>
        <v>3.971679083186666</v>
      </c>
      <c r="AG71" s="2">
        <f>IF(AF$4=$E71, $I71*AF$55,0) + IF(AF$4&gt;$E71,MIN(AF71,$I71-SUM($J71:AF71)))</f>
        <v>3.971679083186666</v>
      </c>
      <c r="AH71" s="2">
        <f>IF(AG$4=$E71, $I71*AG$55,0) + IF(AG$4&gt;$E71,MIN(AG71,$I71-SUM($J71:AG71)))</f>
        <v>3.971679083186666</v>
      </c>
      <c r="AI71" s="2">
        <f>IF(AH$4=$E71, $I71*AH$55,0) + IF(AH$4&gt;$E71,MIN(AH71,$I71-SUM($J71:AH71)))</f>
        <v>3.971679083186666</v>
      </c>
      <c r="AJ71" s="2">
        <f>IF(AI$4=$E71, $I71*AI$55,0) + IF(AI$4&gt;$E71,MIN(AI71,$I71-SUM($J71:AI71)))</f>
        <v>3.971679083186666</v>
      </c>
      <c r="AK71" s="2">
        <f>IF(AJ$4=$E71, $I71*AJ$55,0) + IF(AJ$4&gt;$E71,MIN(AJ71,$I71-SUM($J71:AJ71)))</f>
        <v>3.971679083186666</v>
      </c>
      <c r="AL71" s="2">
        <f>IF(AK$4=$E71, $I71*AK$55,0) + IF(AK$4&gt;$E71,MIN(AK71,$I71-SUM($J71:AK71)))</f>
        <v>3.971679083186666</v>
      </c>
      <c r="AM71" s="2">
        <f>IF(AL$4=$E71, $I71*AL$55,0) + IF(AL$4&gt;$E71,MIN(AL71,$I71-SUM($J71:AL71)))</f>
        <v>3.971679083186666</v>
      </c>
      <c r="AN71" s="2">
        <f>IF(AM$4=$E71, $I71*AM$55,0) + IF(AM$4&gt;$E71,MIN(AM71,$I71-SUM($J71:AM71)))</f>
        <v>3.971679083186666</v>
      </c>
      <c r="AO71" s="2">
        <f>IF(AN$4=$E71, $I71*AN$55,0) + IF(AN$4&gt;$E71,MIN(AN71,$I71-SUM($J71:AN71)))</f>
        <v>3.971679083186666</v>
      </c>
      <c r="AP71" s="2">
        <f>IF(AO$4=$E71, $I71*AO$55,0) + IF(AO$4&gt;$E71,MIN(AO71,$I71-SUM($J71:AO71)))</f>
        <v>3.971679083186666</v>
      </c>
      <c r="AQ71" s="57">
        <f>IF(AP$4=$E71, $I71*AP$55,0) + IF(AP$4&gt;$E71,MIN(AP71,$I71-SUM($J71:AP71)))</f>
        <v>3.971679083186666</v>
      </c>
      <c r="AR71" s="2">
        <f>IF(AQ$4=$E71, $I71*AQ$55,0) + IF(AQ$4&gt;$E71,MIN(AQ71,$I71-SUM($J71:AQ71)))</f>
        <v>3.971679083186666</v>
      </c>
      <c r="AS71" s="2">
        <f>IF(AR$4=$E71, $I71*AR$55,0) + IF(AR$4&gt;$E71,MIN(AR71,$I71-SUM($J71:AR71)))</f>
        <v>3.971679083186666</v>
      </c>
      <c r="AT71" s="2">
        <f>IF(AS$4=$E71, $I71*AS$55,0) + IF(AS$4&gt;$E71,MIN(AS71,$I71-SUM($J71:AS71)))</f>
        <v>3.971679083186666</v>
      </c>
      <c r="AU71" s="2">
        <f>IF(AT$4=$E71, $I71*AT$55,0) + IF(AT$4&gt;$E71,MIN(AT71,$I71-SUM($J71:AT71)))</f>
        <v>3.971679083186666</v>
      </c>
      <c r="AV71" s="2">
        <f>IF(AU$4=$E71, $I71*AU$55,0) + IF(AU$4&gt;$E71,MIN(AU71,$I71-SUM($J71:AU71)))</f>
        <v>3.971679083186666</v>
      </c>
      <c r="AW71" s="2"/>
    </row>
    <row r="72" spans="5:49" ht="15" outlineLevel="1">
      <c r="E72" s="44">
        <f>INDEX($K$4:$AV$4,,COUNT(E$65:E71)+1)</f>
        <v>35520</v>
      </c>
      <c r="G72" s="2" t="s">
        <v>105</v>
      </c>
      <c r="I72" s="2">
        <f t="shared" si="62"/>
        <v>138.18439418586345</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4.1496815070829873</v>
      </c>
      <c r="S72" s="2">
        <f>IF(R$4=$E72, $I72*R$55,0) + IF(R$4&gt;$E72,MIN(R72,$I72-SUM($J72:R72)))</f>
        <v>4.1496815070829873</v>
      </c>
      <c r="T72" s="2">
        <f>IF(S$4=$E72, $I72*S$55,0) + IF(S$4&gt;$E72,MIN(S72,$I72-SUM($J72:S72)))</f>
        <v>4.1496815070829873</v>
      </c>
      <c r="U72" s="2">
        <f>IF(T$4=$E72, $I72*T$55,0) + IF(T$4&gt;$E72,MIN(T72,$I72-SUM($J72:T72)))</f>
        <v>4.1496815070829873</v>
      </c>
      <c r="V72" s="2">
        <f>IF(U$4=$E72, $I72*U$55,0) + IF(U$4&gt;$E72,MIN(U72,$I72-SUM($J72:U72)))</f>
        <v>4.1496815070829873</v>
      </c>
      <c r="W72" s="2">
        <f>IF(V$4=$E72, $I72*V$55,0) + IF(V$4&gt;$E72,MIN(V72,$I72-SUM($J72:V72)))</f>
        <v>4.1496815070829873</v>
      </c>
      <c r="X72" s="2">
        <f>IF(W$4=$E72, $I72*W$55,0) + IF(W$4&gt;$E72,MIN(W72,$I72-SUM($J72:W72)))</f>
        <v>4.1496815070829873</v>
      </c>
      <c r="Y72" s="2">
        <f>IF(X$4=$E72, $I72*X$55,0) + IF(X$4&gt;$E72,MIN(X72,$I72-SUM($J72:X72)))</f>
        <v>4.1496815070829873</v>
      </c>
      <c r="Z72" s="2">
        <f>IF(Y$4=$E72, $I72*Y$55,0) + IF(Y$4&gt;$E72,MIN(Y72,$I72-SUM($J72:Y72)))</f>
        <v>4.1496815070829873</v>
      </c>
      <c r="AA72" s="2">
        <f>IF(Z$4=$E72, $I72*Z$55,0) + IF(Z$4&gt;$E72,MIN(Z72,$I72-SUM($J72:Z72)))</f>
        <v>4.1496815070829873</v>
      </c>
      <c r="AB72" s="2">
        <f>IF(AA$4=$E72, $I72*AA$55,0) + IF(AA$4&gt;$E72,MIN(AA72,$I72-SUM($J72:AA72)))</f>
        <v>4.1496815070829873</v>
      </c>
      <c r="AC72" s="2">
        <f>IF(AB$4=$E72, $I72*AB$55,0) + IF(AB$4&gt;$E72,MIN(AB72,$I72-SUM($J72:AB72)))</f>
        <v>4.1496815070829873</v>
      </c>
      <c r="AD72" s="2">
        <f>IF(AC$4=$E72, $I72*AC$55,0) + IF(AC$4&gt;$E72,MIN(AC72,$I72-SUM($J72:AC72)))</f>
        <v>4.1496815070829873</v>
      </c>
      <c r="AE72" s="2">
        <f>IF(AD$4=$E72, $I72*AD$55,0) + IF(AD$4&gt;$E72,MIN(AD72,$I72-SUM($J72:AD72)))</f>
        <v>4.1496815070829873</v>
      </c>
      <c r="AF72" s="2">
        <f>IF(AE$4=$E72, $I72*AE$55,0) + IF(AE$4&gt;$E72,MIN(AE72,$I72-SUM($J72:AE72)))</f>
        <v>4.1496815070829873</v>
      </c>
      <c r="AG72" s="2">
        <f>IF(AF$4=$E72, $I72*AF$55,0) + IF(AF$4&gt;$E72,MIN(AF72,$I72-SUM($J72:AF72)))</f>
        <v>4.1496815070829873</v>
      </c>
      <c r="AH72" s="2">
        <f>IF(AG$4=$E72, $I72*AG$55,0) + IF(AG$4&gt;$E72,MIN(AG72,$I72-SUM($J72:AG72)))</f>
        <v>4.1496815070829873</v>
      </c>
      <c r="AI72" s="2">
        <f>IF(AH$4=$E72, $I72*AH$55,0) + IF(AH$4&gt;$E72,MIN(AH72,$I72-SUM($J72:AH72)))</f>
        <v>4.1496815070829873</v>
      </c>
      <c r="AJ72" s="2">
        <f>IF(AI$4=$E72, $I72*AI$55,0) + IF(AI$4&gt;$E72,MIN(AI72,$I72-SUM($J72:AI72)))</f>
        <v>4.1496815070829873</v>
      </c>
      <c r="AK72" s="2">
        <f>IF(AJ$4=$E72, $I72*AJ$55,0) + IF(AJ$4&gt;$E72,MIN(AJ72,$I72-SUM($J72:AJ72)))</f>
        <v>4.1496815070829873</v>
      </c>
      <c r="AL72" s="2">
        <f>IF(AK$4=$E72, $I72*AK$55,0) + IF(AK$4&gt;$E72,MIN(AK72,$I72-SUM($J72:AK72)))</f>
        <v>4.1496815070829873</v>
      </c>
      <c r="AM72" s="2">
        <f>IF(AL$4=$E72, $I72*AL$55,0) + IF(AL$4&gt;$E72,MIN(AL72,$I72-SUM($J72:AL72)))</f>
        <v>4.1496815070829873</v>
      </c>
      <c r="AN72" s="2">
        <f>IF(AM$4=$E72, $I72*AM$55,0) + IF(AM$4&gt;$E72,MIN(AM72,$I72-SUM($J72:AM72)))</f>
        <v>4.1496815070829873</v>
      </c>
      <c r="AO72" s="2">
        <f>IF(AN$4=$E72, $I72*AN$55,0) + IF(AN$4&gt;$E72,MIN(AN72,$I72-SUM($J72:AN72)))</f>
        <v>4.1496815070829873</v>
      </c>
      <c r="AP72" s="2">
        <f>IF(AO$4=$E72, $I72*AO$55,0) + IF(AO$4&gt;$E72,MIN(AO72,$I72-SUM($J72:AO72)))</f>
        <v>4.1496815070829873</v>
      </c>
      <c r="AQ72" s="57">
        <f>IF(AP$4=$E72, $I72*AP$55,0) + IF(AP$4&gt;$E72,MIN(AP72,$I72-SUM($J72:AP72)))</f>
        <v>4.1496815070829873</v>
      </c>
      <c r="AR72" s="2">
        <f>IF(AQ$4=$E72, $I72*AQ$55,0) + IF(AQ$4&gt;$E72,MIN(AQ72,$I72-SUM($J72:AQ72)))</f>
        <v>4.1496815070829873</v>
      </c>
      <c r="AS72" s="2">
        <f>IF(AR$4=$E72, $I72*AR$55,0) + IF(AR$4&gt;$E72,MIN(AR72,$I72-SUM($J72:AR72)))</f>
        <v>4.1496815070829873</v>
      </c>
      <c r="AT72" s="2">
        <f>IF(AS$4=$E72, $I72*AS$55,0) + IF(AS$4&gt;$E72,MIN(AS72,$I72-SUM($J72:AS72)))</f>
        <v>4.1496815070829873</v>
      </c>
      <c r="AU72" s="2">
        <f>IF(AT$4=$E72, $I72*AT$55,0) + IF(AT$4&gt;$E72,MIN(AT72,$I72-SUM($J72:AT72)))</f>
        <v>4.1496815070829873</v>
      </c>
      <c r="AV72" s="2">
        <f>IF(AU$4=$E72, $I72*AU$55,0) + IF(AU$4&gt;$E72,MIN(AU72,$I72-SUM($J72:AU72)))</f>
        <v>4.1496815070829873</v>
      </c>
      <c r="AW72" s="2"/>
    </row>
    <row r="73" spans="5:49" ht="15" outlineLevel="1">
      <c r="E73" s="44">
        <f>INDEX($K$4:$AV$4,,COUNT(E$65:E72)+1)</f>
        <v>35885</v>
      </c>
      <c r="G73" s="2" t="s">
        <v>105</v>
      </c>
      <c r="I73" s="2">
        <f t="shared" si="62"/>
        <v>168.37749908170227</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5.0563813538048734</v>
      </c>
      <c r="T73" s="2">
        <f>IF(S$4=$E73, $I73*S$55,0) + IF(S$4&gt;$E73,MIN(S73,$I73-SUM($J73:S73)))</f>
        <v>5.0563813538048734</v>
      </c>
      <c r="U73" s="2">
        <f>IF(T$4=$E73, $I73*T$55,0) + IF(T$4&gt;$E73,MIN(T73,$I73-SUM($J73:T73)))</f>
        <v>5.0563813538048734</v>
      </c>
      <c r="V73" s="2">
        <f>IF(U$4=$E73, $I73*U$55,0) + IF(U$4&gt;$E73,MIN(U73,$I73-SUM($J73:U73)))</f>
        <v>5.0563813538048734</v>
      </c>
      <c r="W73" s="2">
        <f>IF(V$4=$E73, $I73*V$55,0) + IF(V$4&gt;$E73,MIN(V73,$I73-SUM($J73:V73)))</f>
        <v>5.0563813538048734</v>
      </c>
      <c r="X73" s="2">
        <f>IF(W$4=$E73, $I73*W$55,0) + IF(W$4&gt;$E73,MIN(W73,$I73-SUM($J73:W73)))</f>
        <v>5.0563813538048734</v>
      </c>
      <c r="Y73" s="2">
        <f>IF(X$4=$E73, $I73*X$55,0) + IF(X$4&gt;$E73,MIN(X73,$I73-SUM($J73:X73)))</f>
        <v>5.0563813538048734</v>
      </c>
      <c r="Z73" s="2">
        <f>IF(Y$4=$E73, $I73*Y$55,0) + IF(Y$4&gt;$E73,MIN(Y73,$I73-SUM($J73:Y73)))</f>
        <v>5.0563813538048734</v>
      </c>
      <c r="AA73" s="2">
        <f>IF(Z$4=$E73, $I73*Z$55,0) + IF(Z$4&gt;$E73,MIN(Z73,$I73-SUM($J73:Z73)))</f>
        <v>5.0563813538048734</v>
      </c>
      <c r="AB73" s="2">
        <f>IF(AA$4=$E73, $I73*AA$55,0) + IF(AA$4&gt;$E73,MIN(AA73,$I73-SUM($J73:AA73)))</f>
        <v>5.0563813538048734</v>
      </c>
      <c r="AC73" s="2">
        <f>IF(AB$4=$E73, $I73*AB$55,0) + IF(AB$4&gt;$E73,MIN(AB73,$I73-SUM($J73:AB73)))</f>
        <v>5.0563813538048734</v>
      </c>
      <c r="AD73" s="2">
        <f>IF(AC$4=$E73, $I73*AC$55,0) + IF(AC$4&gt;$E73,MIN(AC73,$I73-SUM($J73:AC73)))</f>
        <v>5.0563813538048734</v>
      </c>
      <c r="AE73" s="2">
        <f>IF(AD$4=$E73, $I73*AD$55,0) + IF(AD$4&gt;$E73,MIN(AD73,$I73-SUM($J73:AD73)))</f>
        <v>5.0563813538048734</v>
      </c>
      <c r="AF73" s="2">
        <f>IF(AE$4=$E73, $I73*AE$55,0) + IF(AE$4&gt;$E73,MIN(AE73,$I73-SUM($J73:AE73)))</f>
        <v>5.0563813538048734</v>
      </c>
      <c r="AG73" s="2">
        <f>IF(AF$4=$E73, $I73*AF$55,0) + IF(AF$4&gt;$E73,MIN(AF73,$I73-SUM($J73:AF73)))</f>
        <v>5.0563813538048734</v>
      </c>
      <c r="AH73" s="2">
        <f>IF(AG$4=$E73, $I73*AG$55,0) + IF(AG$4&gt;$E73,MIN(AG73,$I73-SUM($J73:AG73)))</f>
        <v>5.0563813538048734</v>
      </c>
      <c r="AI73" s="2">
        <f>IF(AH$4=$E73, $I73*AH$55,0) + IF(AH$4&gt;$E73,MIN(AH73,$I73-SUM($J73:AH73)))</f>
        <v>5.0563813538048734</v>
      </c>
      <c r="AJ73" s="2">
        <f>IF(AI$4=$E73, $I73*AI$55,0) + IF(AI$4&gt;$E73,MIN(AI73,$I73-SUM($J73:AI73)))</f>
        <v>5.0563813538048734</v>
      </c>
      <c r="AK73" s="2">
        <f>IF(AJ$4=$E73, $I73*AJ$55,0) + IF(AJ$4&gt;$E73,MIN(AJ73,$I73-SUM($J73:AJ73)))</f>
        <v>5.0563813538048734</v>
      </c>
      <c r="AL73" s="2">
        <f>IF(AK$4=$E73, $I73*AK$55,0) + IF(AK$4&gt;$E73,MIN(AK73,$I73-SUM($J73:AK73)))</f>
        <v>5.0563813538048734</v>
      </c>
      <c r="AM73" s="2">
        <f>IF(AL$4=$E73, $I73*AL$55,0) + IF(AL$4&gt;$E73,MIN(AL73,$I73-SUM($J73:AL73)))</f>
        <v>5.0563813538048734</v>
      </c>
      <c r="AN73" s="2">
        <f>IF(AM$4=$E73, $I73*AM$55,0) + IF(AM$4&gt;$E73,MIN(AM73,$I73-SUM($J73:AM73)))</f>
        <v>5.0563813538048734</v>
      </c>
      <c r="AO73" s="2">
        <f>IF(AN$4=$E73, $I73*AN$55,0) + IF(AN$4&gt;$E73,MIN(AN73,$I73-SUM($J73:AN73)))</f>
        <v>5.0563813538048734</v>
      </c>
      <c r="AP73" s="2">
        <f>IF(AO$4=$E73, $I73*AO$55,0) + IF(AO$4&gt;$E73,MIN(AO73,$I73-SUM($J73:AO73)))</f>
        <v>5.0563813538048734</v>
      </c>
      <c r="AQ73" s="57">
        <f>IF(AP$4=$E73, $I73*AP$55,0) + IF(AP$4&gt;$E73,MIN(AP73,$I73-SUM($J73:AP73)))</f>
        <v>5.0563813538048734</v>
      </c>
      <c r="AR73" s="2">
        <f>IF(AQ$4=$E73, $I73*AQ$55,0) + IF(AQ$4&gt;$E73,MIN(AQ73,$I73-SUM($J73:AQ73)))</f>
        <v>5.0563813538048734</v>
      </c>
      <c r="AS73" s="2">
        <f>IF(AR$4=$E73, $I73*AR$55,0) + IF(AR$4&gt;$E73,MIN(AR73,$I73-SUM($J73:AR73)))</f>
        <v>5.0563813538048734</v>
      </c>
      <c r="AT73" s="2">
        <f>IF(AS$4=$E73, $I73*AS$55,0) + IF(AS$4&gt;$E73,MIN(AS73,$I73-SUM($J73:AS73)))</f>
        <v>5.0563813538048734</v>
      </c>
      <c r="AU73" s="2">
        <f>IF(AT$4=$E73, $I73*AT$55,0) + IF(AT$4&gt;$E73,MIN(AT73,$I73-SUM($J73:AT73)))</f>
        <v>5.0563813538048734</v>
      </c>
      <c r="AV73" s="2">
        <f>IF(AU$4=$E73, $I73*AU$55,0) + IF(AU$4&gt;$E73,MIN(AU73,$I73-SUM($J73:AU73)))</f>
        <v>5.0563813538048734</v>
      </c>
      <c r="AW73" s="2"/>
    </row>
    <row r="74" spans="5:49" ht="15" outlineLevel="1">
      <c r="E74" s="44">
        <f>INDEX($K$4:$AV$4,,COUNT(E$65:E73)+1)</f>
        <v>36250</v>
      </c>
      <c r="G74" s="2" t="s">
        <v>105</v>
      </c>
      <c r="I74" s="2">
        <f t="shared" si="62"/>
        <v>180.29446944987433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5.4142483318280581</v>
      </c>
      <c r="U74" s="2">
        <f>IF(T$4=$E74, $I74*T$55,0) + IF(T$4&gt;$E74,MIN(T74,$I74-SUM($J74:T74)))</f>
        <v>5.4142483318280581</v>
      </c>
      <c r="V74" s="2">
        <f>IF(U$4=$E74, $I74*U$55,0) + IF(U$4&gt;$E74,MIN(U74,$I74-SUM($J74:U74)))</f>
        <v>5.4142483318280581</v>
      </c>
      <c r="W74" s="2">
        <f>IF(V$4=$E74, $I74*V$55,0) + IF(V$4&gt;$E74,MIN(V74,$I74-SUM($J74:V74)))</f>
        <v>5.4142483318280581</v>
      </c>
      <c r="X74" s="2">
        <f>IF(W$4=$E74, $I74*W$55,0) + IF(W$4&gt;$E74,MIN(W74,$I74-SUM($J74:W74)))</f>
        <v>5.4142483318280581</v>
      </c>
      <c r="Y74" s="2">
        <f>IF(X$4=$E74, $I74*X$55,0) + IF(X$4&gt;$E74,MIN(X74,$I74-SUM($J74:X74)))</f>
        <v>5.4142483318280581</v>
      </c>
      <c r="Z74" s="2">
        <f>IF(Y$4=$E74, $I74*Y$55,0) + IF(Y$4&gt;$E74,MIN(Y74,$I74-SUM($J74:Y74)))</f>
        <v>5.4142483318280581</v>
      </c>
      <c r="AA74" s="2">
        <f>IF(Z$4=$E74, $I74*Z$55,0) + IF(Z$4&gt;$E74,MIN(Z74,$I74-SUM($J74:Z74)))</f>
        <v>5.4142483318280581</v>
      </c>
      <c r="AB74" s="2">
        <f>IF(AA$4=$E74, $I74*AA$55,0) + IF(AA$4&gt;$E74,MIN(AA74,$I74-SUM($J74:AA74)))</f>
        <v>5.4142483318280581</v>
      </c>
      <c r="AC74" s="2">
        <f>IF(AB$4=$E74, $I74*AB$55,0) + IF(AB$4&gt;$E74,MIN(AB74,$I74-SUM($J74:AB74)))</f>
        <v>5.4142483318280581</v>
      </c>
      <c r="AD74" s="2">
        <f>IF(AC$4=$E74, $I74*AC$55,0) + IF(AC$4&gt;$E74,MIN(AC74,$I74-SUM($J74:AC74)))</f>
        <v>5.4142483318280581</v>
      </c>
      <c r="AE74" s="2">
        <f>IF(AD$4=$E74, $I74*AD$55,0) + IF(AD$4&gt;$E74,MIN(AD74,$I74-SUM($J74:AD74)))</f>
        <v>5.4142483318280581</v>
      </c>
      <c r="AF74" s="2">
        <f>IF(AE$4=$E74, $I74*AE$55,0) + IF(AE$4&gt;$E74,MIN(AE74,$I74-SUM($J74:AE74)))</f>
        <v>5.4142483318280581</v>
      </c>
      <c r="AG74" s="2">
        <f>IF(AF$4=$E74, $I74*AF$55,0) + IF(AF$4&gt;$E74,MIN(AF74,$I74-SUM($J74:AF74)))</f>
        <v>5.4142483318280581</v>
      </c>
      <c r="AH74" s="2">
        <f>IF(AG$4=$E74, $I74*AG$55,0) + IF(AG$4&gt;$E74,MIN(AG74,$I74-SUM($J74:AG74)))</f>
        <v>5.4142483318280581</v>
      </c>
      <c r="AI74" s="2">
        <f>IF(AH$4=$E74, $I74*AH$55,0) + IF(AH$4&gt;$E74,MIN(AH74,$I74-SUM($J74:AH74)))</f>
        <v>5.4142483318280581</v>
      </c>
      <c r="AJ74" s="2">
        <f>IF(AI$4=$E74, $I74*AI$55,0) + IF(AI$4&gt;$E74,MIN(AI74,$I74-SUM($J74:AI74)))</f>
        <v>5.4142483318280581</v>
      </c>
      <c r="AK74" s="2">
        <f>IF(AJ$4=$E74, $I74*AJ$55,0) + IF(AJ$4&gt;$E74,MIN(AJ74,$I74-SUM($J74:AJ74)))</f>
        <v>5.4142483318280581</v>
      </c>
      <c r="AL74" s="2">
        <f>IF(AK$4=$E74, $I74*AK$55,0) + IF(AK$4&gt;$E74,MIN(AK74,$I74-SUM($J74:AK74)))</f>
        <v>5.4142483318280581</v>
      </c>
      <c r="AM74" s="2">
        <f>IF(AL$4=$E74, $I74*AL$55,0) + IF(AL$4&gt;$E74,MIN(AL74,$I74-SUM($J74:AL74)))</f>
        <v>5.4142483318280581</v>
      </c>
      <c r="AN74" s="2">
        <f>IF(AM$4=$E74, $I74*AM$55,0) + IF(AM$4&gt;$E74,MIN(AM74,$I74-SUM($J74:AM74)))</f>
        <v>5.4142483318280581</v>
      </c>
      <c r="AO74" s="2">
        <f>IF(AN$4=$E74, $I74*AN$55,0) + IF(AN$4&gt;$E74,MIN(AN74,$I74-SUM($J74:AN74)))</f>
        <v>5.4142483318280581</v>
      </c>
      <c r="AP74" s="2">
        <f>IF(AO$4=$E74, $I74*AO$55,0) + IF(AO$4&gt;$E74,MIN(AO74,$I74-SUM($J74:AO74)))</f>
        <v>5.4142483318280581</v>
      </c>
      <c r="AQ74" s="57">
        <f>IF(AP$4=$E74, $I74*AP$55,0) + IF(AP$4&gt;$E74,MIN(AP74,$I74-SUM($J74:AP74)))</f>
        <v>5.4142483318280581</v>
      </c>
      <c r="AR74" s="2">
        <f>IF(AQ$4=$E74, $I74*AQ$55,0) + IF(AQ$4&gt;$E74,MIN(AQ74,$I74-SUM($J74:AQ74)))</f>
        <v>5.4142483318280581</v>
      </c>
      <c r="AS74" s="2">
        <f>IF(AR$4=$E74, $I74*AR$55,0) + IF(AR$4&gt;$E74,MIN(AR74,$I74-SUM($J74:AR74)))</f>
        <v>5.4142483318280581</v>
      </c>
      <c r="AT74" s="2">
        <f>IF(AS$4=$E74, $I74*AS$55,0) + IF(AS$4&gt;$E74,MIN(AS74,$I74-SUM($J74:AS74)))</f>
        <v>5.4142483318280581</v>
      </c>
      <c r="AU74" s="2">
        <f>IF(AT$4=$E74, $I74*AT$55,0) + IF(AT$4&gt;$E74,MIN(AT74,$I74-SUM($J74:AT74)))</f>
        <v>5.4142483318280581</v>
      </c>
      <c r="AV74" s="2">
        <f>IF(AU$4=$E74, $I74*AU$55,0) + IF(AU$4&gt;$E74,MIN(AU74,$I74-SUM($J74:AU74)))</f>
        <v>5.4142483318280581</v>
      </c>
      <c r="AW74" s="2"/>
    </row>
    <row r="75" spans="5:49" ht="15" outlineLevel="1">
      <c r="E75" s="44">
        <f>INDEX($K$4:$AV$4,,COUNT(E$65:E74)+1)</f>
        <v>36616</v>
      </c>
      <c r="G75" s="2" t="s">
        <v>105</v>
      </c>
      <c r="I75" s="2">
        <f t="shared" si="62"/>
        <v>165.71182853848742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4.9763311873419651</v>
      </c>
      <c r="V75" s="2">
        <f>IF(U$4=$E75, $I75*U$55,0) + IF(U$4&gt;$E75,MIN(U75,$I75-SUM($J75:U75)))</f>
        <v>4.9763311873419651</v>
      </c>
      <c r="W75" s="2">
        <f>IF(V$4=$E75, $I75*V$55,0) + IF(V$4&gt;$E75,MIN(V75,$I75-SUM($J75:V75)))</f>
        <v>4.9763311873419651</v>
      </c>
      <c r="X75" s="2">
        <f>IF(W$4=$E75, $I75*W$55,0) + IF(W$4&gt;$E75,MIN(W75,$I75-SUM($J75:W75)))</f>
        <v>4.9763311873419651</v>
      </c>
      <c r="Y75" s="2">
        <f>IF(X$4=$E75, $I75*X$55,0) + IF(X$4&gt;$E75,MIN(X75,$I75-SUM($J75:X75)))</f>
        <v>4.9763311873419651</v>
      </c>
      <c r="Z75" s="2">
        <f>IF(Y$4=$E75, $I75*Y$55,0) + IF(Y$4&gt;$E75,MIN(Y75,$I75-SUM($J75:Y75)))</f>
        <v>4.9763311873419651</v>
      </c>
      <c r="AA75" s="2">
        <f>IF(Z$4=$E75, $I75*Z$55,0) + IF(Z$4&gt;$E75,MIN(Z75,$I75-SUM($J75:Z75)))</f>
        <v>4.9763311873419651</v>
      </c>
      <c r="AB75" s="2">
        <f>IF(AA$4=$E75, $I75*AA$55,0) + IF(AA$4&gt;$E75,MIN(AA75,$I75-SUM($J75:AA75)))</f>
        <v>4.9763311873419651</v>
      </c>
      <c r="AC75" s="2">
        <f>IF(AB$4=$E75, $I75*AB$55,0) + IF(AB$4&gt;$E75,MIN(AB75,$I75-SUM($J75:AB75)))</f>
        <v>4.9763311873419651</v>
      </c>
      <c r="AD75" s="2">
        <f>IF(AC$4=$E75, $I75*AC$55,0) + IF(AC$4&gt;$E75,MIN(AC75,$I75-SUM($J75:AC75)))</f>
        <v>4.9763311873419651</v>
      </c>
      <c r="AE75" s="2">
        <f>IF(AD$4=$E75, $I75*AD$55,0) + IF(AD$4&gt;$E75,MIN(AD75,$I75-SUM($J75:AD75)))</f>
        <v>4.9763311873419651</v>
      </c>
      <c r="AF75" s="2">
        <f>IF(AE$4=$E75, $I75*AE$55,0) + IF(AE$4&gt;$E75,MIN(AE75,$I75-SUM($J75:AE75)))</f>
        <v>4.9763311873419651</v>
      </c>
      <c r="AG75" s="2">
        <f>IF(AF$4=$E75, $I75*AF$55,0) + IF(AF$4&gt;$E75,MIN(AF75,$I75-SUM($J75:AF75)))</f>
        <v>4.9763311873419651</v>
      </c>
      <c r="AH75" s="2">
        <f>IF(AG$4=$E75, $I75*AG$55,0) + IF(AG$4&gt;$E75,MIN(AG75,$I75-SUM($J75:AG75)))</f>
        <v>4.9763311873419651</v>
      </c>
      <c r="AI75" s="2">
        <f>IF(AH$4=$E75, $I75*AH$55,0) + IF(AH$4&gt;$E75,MIN(AH75,$I75-SUM($J75:AH75)))</f>
        <v>4.9763311873419651</v>
      </c>
      <c r="AJ75" s="2">
        <f>IF(AI$4=$E75, $I75*AI$55,0) + IF(AI$4&gt;$E75,MIN(AI75,$I75-SUM($J75:AI75)))</f>
        <v>4.9763311873419651</v>
      </c>
      <c r="AK75" s="2">
        <f>IF(AJ$4=$E75, $I75*AJ$55,0) + IF(AJ$4&gt;$E75,MIN(AJ75,$I75-SUM($J75:AJ75)))</f>
        <v>4.9763311873419651</v>
      </c>
      <c r="AL75" s="2">
        <f>IF(AK$4=$E75, $I75*AK$55,0) + IF(AK$4&gt;$E75,MIN(AK75,$I75-SUM($J75:AK75)))</f>
        <v>4.9763311873419651</v>
      </c>
      <c r="AM75" s="2">
        <f>IF(AL$4=$E75, $I75*AL$55,0) + IF(AL$4&gt;$E75,MIN(AL75,$I75-SUM($J75:AL75)))</f>
        <v>4.9763311873419651</v>
      </c>
      <c r="AN75" s="2">
        <f>IF(AM$4=$E75, $I75*AM$55,0) + IF(AM$4&gt;$E75,MIN(AM75,$I75-SUM($J75:AM75)))</f>
        <v>4.9763311873419651</v>
      </c>
      <c r="AO75" s="2">
        <f>IF(AN$4=$E75, $I75*AN$55,0) + IF(AN$4&gt;$E75,MIN(AN75,$I75-SUM($J75:AN75)))</f>
        <v>4.9763311873419651</v>
      </c>
      <c r="AP75" s="2">
        <f>IF(AO$4=$E75, $I75*AO$55,0) + IF(AO$4&gt;$E75,MIN(AO75,$I75-SUM($J75:AO75)))</f>
        <v>4.9763311873419651</v>
      </c>
      <c r="AQ75" s="57">
        <f>IF(AP$4=$E75, $I75*AP$55,0) + IF(AP$4&gt;$E75,MIN(AP75,$I75-SUM($J75:AP75)))</f>
        <v>4.9763311873419651</v>
      </c>
      <c r="AR75" s="2">
        <f>IF(AQ$4=$E75, $I75*AQ$55,0) + IF(AQ$4&gt;$E75,MIN(AQ75,$I75-SUM($J75:AQ75)))</f>
        <v>4.9763311873419651</v>
      </c>
      <c r="AS75" s="2">
        <f>IF(AR$4=$E75, $I75*AR$55,0) + IF(AR$4&gt;$E75,MIN(AR75,$I75-SUM($J75:AR75)))</f>
        <v>4.9763311873419651</v>
      </c>
      <c r="AT75" s="2">
        <f>IF(AS$4=$E75, $I75*AS$55,0) + IF(AS$4&gt;$E75,MIN(AS75,$I75-SUM($J75:AS75)))</f>
        <v>4.9763311873419651</v>
      </c>
      <c r="AU75" s="2">
        <f>IF(AT$4=$E75, $I75*AT$55,0) + IF(AT$4&gt;$E75,MIN(AT75,$I75-SUM($J75:AT75)))</f>
        <v>4.9763311873419651</v>
      </c>
      <c r="AV75" s="2">
        <f>IF(AU$4=$E75, $I75*AU$55,0) + IF(AU$4&gt;$E75,MIN(AU75,$I75-SUM($J75:AU75)))</f>
        <v>4.9763311873419651</v>
      </c>
      <c r="AW75" s="2"/>
    </row>
    <row r="76" spans="5:49" ht="15" outlineLevel="1">
      <c r="E76" s="44">
        <f>INDEX($K$4:$AV$4,,COUNT(E$65:E75)+1)</f>
        <v>36981</v>
      </c>
      <c r="G76" s="2" t="s">
        <v>105</v>
      </c>
      <c r="I76" s="2">
        <f t="shared" si="62"/>
        <v>143.89240198462886</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4.3210931526915575</v>
      </c>
      <c r="W76" s="2">
        <f>IF(V$4=$E76, $I76*V$55,0) + IF(V$4&gt;$E76,MIN(V76,$I76-SUM($J76:V76)))</f>
        <v>4.3210931526915575</v>
      </c>
      <c r="X76" s="2">
        <f>IF(W$4=$E76, $I76*W$55,0) + IF(W$4&gt;$E76,MIN(W76,$I76-SUM($J76:W76)))</f>
        <v>4.3210931526915575</v>
      </c>
      <c r="Y76" s="2">
        <f>IF(X$4=$E76, $I76*X$55,0) + IF(X$4&gt;$E76,MIN(X76,$I76-SUM($J76:X76)))</f>
        <v>4.3210931526915575</v>
      </c>
      <c r="Z76" s="2">
        <f>IF(Y$4=$E76, $I76*Y$55,0) + IF(Y$4&gt;$E76,MIN(Y76,$I76-SUM($J76:Y76)))</f>
        <v>4.3210931526915575</v>
      </c>
      <c r="AA76" s="2">
        <f>IF(Z$4=$E76, $I76*Z$55,0) + IF(Z$4&gt;$E76,MIN(Z76,$I76-SUM($J76:Z76)))</f>
        <v>4.3210931526915575</v>
      </c>
      <c r="AB76" s="2">
        <f>IF(AA$4=$E76, $I76*AA$55,0) + IF(AA$4&gt;$E76,MIN(AA76,$I76-SUM($J76:AA76)))</f>
        <v>4.3210931526915575</v>
      </c>
      <c r="AC76" s="2">
        <f>IF(AB$4=$E76, $I76*AB$55,0) + IF(AB$4&gt;$E76,MIN(AB76,$I76-SUM($J76:AB76)))</f>
        <v>4.3210931526915575</v>
      </c>
      <c r="AD76" s="2">
        <f>IF(AC$4=$E76, $I76*AC$55,0) + IF(AC$4&gt;$E76,MIN(AC76,$I76-SUM($J76:AC76)))</f>
        <v>4.3210931526915575</v>
      </c>
      <c r="AE76" s="2">
        <f>IF(AD$4=$E76, $I76*AD$55,0) + IF(AD$4&gt;$E76,MIN(AD76,$I76-SUM($J76:AD76)))</f>
        <v>4.3210931526915575</v>
      </c>
      <c r="AF76" s="2">
        <f>IF(AE$4=$E76, $I76*AE$55,0) + IF(AE$4&gt;$E76,MIN(AE76,$I76-SUM($J76:AE76)))</f>
        <v>4.3210931526915575</v>
      </c>
      <c r="AG76" s="2">
        <f>IF(AF$4=$E76, $I76*AF$55,0) + IF(AF$4&gt;$E76,MIN(AF76,$I76-SUM($J76:AF76)))</f>
        <v>4.3210931526915575</v>
      </c>
      <c r="AH76" s="2">
        <f>IF(AG$4=$E76, $I76*AG$55,0) + IF(AG$4&gt;$E76,MIN(AG76,$I76-SUM($J76:AG76)))</f>
        <v>4.3210931526915575</v>
      </c>
      <c r="AI76" s="2">
        <f>IF(AH$4=$E76, $I76*AH$55,0) + IF(AH$4&gt;$E76,MIN(AH76,$I76-SUM($J76:AH76)))</f>
        <v>4.3210931526915575</v>
      </c>
      <c r="AJ76" s="2">
        <f>IF(AI$4=$E76, $I76*AI$55,0) + IF(AI$4&gt;$E76,MIN(AI76,$I76-SUM($J76:AI76)))</f>
        <v>4.3210931526915575</v>
      </c>
      <c r="AK76" s="2">
        <f>IF(AJ$4=$E76, $I76*AJ$55,0) + IF(AJ$4&gt;$E76,MIN(AJ76,$I76-SUM($J76:AJ76)))</f>
        <v>4.3210931526915575</v>
      </c>
      <c r="AL76" s="2">
        <f>IF(AK$4=$E76, $I76*AK$55,0) + IF(AK$4&gt;$E76,MIN(AK76,$I76-SUM($J76:AK76)))</f>
        <v>4.3210931526915575</v>
      </c>
      <c r="AM76" s="2">
        <f>IF(AL$4=$E76, $I76*AL$55,0) + IF(AL$4&gt;$E76,MIN(AL76,$I76-SUM($J76:AL76)))</f>
        <v>4.3210931526915575</v>
      </c>
      <c r="AN76" s="2">
        <f>IF(AM$4=$E76, $I76*AM$55,0) + IF(AM$4&gt;$E76,MIN(AM76,$I76-SUM($J76:AM76)))</f>
        <v>4.3210931526915575</v>
      </c>
      <c r="AO76" s="2">
        <f>IF(AN$4=$E76, $I76*AN$55,0) + IF(AN$4&gt;$E76,MIN(AN76,$I76-SUM($J76:AN76)))</f>
        <v>4.3210931526915575</v>
      </c>
      <c r="AP76" s="2">
        <f>IF(AO$4=$E76, $I76*AO$55,0) + IF(AO$4&gt;$E76,MIN(AO76,$I76-SUM($J76:AO76)))</f>
        <v>4.3210931526915575</v>
      </c>
      <c r="AQ76" s="57">
        <f>IF(AP$4=$E76, $I76*AP$55,0) + IF(AP$4&gt;$E76,MIN(AP76,$I76-SUM($J76:AP76)))</f>
        <v>4.3210931526915575</v>
      </c>
      <c r="AR76" s="2">
        <f>IF(AQ$4=$E76, $I76*AQ$55,0) + IF(AQ$4&gt;$E76,MIN(AQ76,$I76-SUM($J76:AQ76)))</f>
        <v>4.3210931526915575</v>
      </c>
      <c r="AS76" s="2">
        <f>IF(AR$4=$E76, $I76*AR$55,0) + IF(AR$4&gt;$E76,MIN(AR76,$I76-SUM($J76:AR76)))</f>
        <v>4.3210931526915575</v>
      </c>
      <c r="AT76" s="2">
        <f>IF(AS$4=$E76, $I76*AS$55,0) + IF(AS$4&gt;$E76,MIN(AS76,$I76-SUM($J76:AS76)))</f>
        <v>4.3210931526915575</v>
      </c>
      <c r="AU76" s="2">
        <f>IF(AT$4=$E76, $I76*AT$55,0) + IF(AT$4&gt;$E76,MIN(AT76,$I76-SUM($J76:AT76)))</f>
        <v>4.3210931526915575</v>
      </c>
      <c r="AV76" s="2">
        <f>IF(AU$4=$E76, $I76*AU$55,0) + IF(AU$4&gt;$E76,MIN(AU76,$I76-SUM($J76:AU76)))</f>
        <v>4.3210931526915575</v>
      </c>
      <c r="AW76" s="2"/>
    </row>
    <row r="77" spans="5:49" ht="15" outlineLevel="1">
      <c r="E77" s="44">
        <f>INDEX($K$4:$AV$4,,COUNT(E$65:E76)+1)</f>
        <v>37346</v>
      </c>
      <c r="G77" s="2" t="s">
        <v>105</v>
      </c>
      <c r="I77" s="2">
        <f t="shared" si="62"/>
        <v>131.62425113826984</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3.952680214362458</v>
      </c>
      <c r="X77" s="2">
        <f>IF(W$4=$E77, $I77*W$55,0) + IF(W$4&gt;$E77,MIN(W77,$I77-SUM($J77:W77)))</f>
        <v>3.952680214362458</v>
      </c>
      <c r="Y77" s="2">
        <f>IF(X$4=$E77, $I77*X$55,0) + IF(X$4&gt;$E77,MIN(X77,$I77-SUM($J77:X77)))</f>
        <v>3.952680214362458</v>
      </c>
      <c r="Z77" s="2">
        <f>IF(Y$4=$E77, $I77*Y$55,0) + IF(Y$4&gt;$E77,MIN(Y77,$I77-SUM($J77:Y77)))</f>
        <v>3.952680214362458</v>
      </c>
      <c r="AA77" s="2">
        <f>IF(Z$4=$E77, $I77*Z$55,0) + IF(Z$4&gt;$E77,MIN(Z77,$I77-SUM($J77:Z77)))</f>
        <v>3.952680214362458</v>
      </c>
      <c r="AB77" s="2">
        <f>IF(AA$4=$E77, $I77*AA$55,0) + IF(AA$4&gt;$E77,MIN(AA77,$I77-SUM($J77:AA77)))</f>
        <v>3.952680214362458</v>
      </c>
      <c r="AC77" s="2">
        <f>IF(AB$4=$E77, $I77*AB$55,0) + IF(AB$4&gt;$E77,MIN(AB77,$I77-SUM($J77:AB77)))</f>
        <v>3.952680214362458</v>
      </c>
      <c r="AD77" s="2">
        <f>IF(AC$4=$E77, $I77*AC$55,0) + IF(AC$4&gt;$E77,MIN(AC77,$I77-SUM($J77:AC77)))</f>
        <v>3.952680214362458</v>
      </c>
      <c r="AE77" s="2">
        <f>IF(AD$4=$E77, $I77*AD$55,0) + IF(AD$4&gt;$E77,MIN(AD77,$I77-SUM($J77:AD77)))</f>
        <v>3.952680214362458</v>
      </c>
      <c r="AF77" s="2">
        <f>IF(AE$4=$E77, $I77*AE$55,0) + IF(AE$4&gt;$E77,MIN(AE77,$I77-SUM($J77:AE77)))</f>
        <v>3.952680214362458</v>
      </c>
      <c r="AG77" s="2">
        <f>IF(AF$4=$E77, $I77*AF$55,0) + IF(AF$4&gt;$E77,MIN(AF77,$I77-SUM($J77:AF77)))</f>
        <v>3.952680214362458</v>
      </c>
      <c r="AH77" s="2">
        <f>IF(AG$4=$E77, $I77*AG$55,0) + IF(AG$4&gt;$E77,MIN(AG77,$I77-SUM($J77:AG77)))</f>
        <v>3.952680214362458</v>
      </c>
      <c r="AI77" s="2">
        <f>IF(AH$4=$E77, $I77*AH$55,0) + IF(AH$4&gt;$E77,MIN(AH77,$I77-SUM($J77:AH77)))</f>
        <v>3.952680214362458</v>
      </c>
      <c r="AJ77" s="2">
        <f>IF(AI$4=$E77, $I77*AI$55,0) + IF(AI$4&gt;$E77,MIN(AI77,$I77-SUM($J77:AI77)))</f>
        <v>3.952680214362458</v>
      </c>
      <c r="AK77" s="2">
        <f>IF(AJ$4=$E77, $I77*AJ$55,0) + IF(AJ$4&gt;$E77,MIN(AJ77,$I77-SUM($J77:AJ77)))</f>
        <v>3.952680214362458</v>
      </c>
      <c r="AL77" s="2">
        <f>IF(AK$4=$E77, $I77*AK$55,0) + IF(AK$4&gt;$E77,MIN(AK77,$I77-SUM($J77:AK77)))</f>
        <v>3.952680214362458</v>
      </c>
      <c r="AM77" s="2">
        <f>IF(AL$4=$E77, $I77*AL$55,0) + IF(AL$4&gt;$E77,MIN(AL77,$I77-SUM($J77:AL77)))</f>
        <v>3.952680214362458</v>
      </c>
      <c r="AN77" s="2">
        <f>IF(AM$4=$E77, $I77*AM$55,0) + IF(AM$4&gt;$E77,MIN(AM77,$I77-SUM($J77:AM77)))</f>
        <v>3.952680214362458</v>
      </c>
      <c r="AO77" s="2">
        <f>IF(AN$4=$E77, $I77*AN$55,0) + IF(AN$4&gt;$E77,MIN(AN77,$I77-SUM($J77:AN77)))</f>
        <v>3.952680214362458</v>
      </c>
      <c r="AP77" s="2">
        <f>IF(AO$4=$E77, $I77*AO$55,0) + IF(AO$4&gt;$E77,MIN(AO77,$I77-SUM($J77:AO77)))</f>
        <v>3.952680214362458</v>
      </c>
      <c r="AQ77" s="57">
        <f>IF(AP$4=$E77, $I77*AP$55,0) + IF(AP$4&gt;$E77,MIN(AP77,$I77-SUM($J77:AP77)))</f>
        <v>3.952680214362458</v>
      </c>
      <c r="AR77" s="2">
        <f>IF(AQ$4=$E77, $I77*AQ$55,0) + IF(AQ$4&gt;$E77,MIN(AQ77,$I77-SUM($J77:AQ77)))</f>
        <v>3.952680214362458</v>
      </c>
      <c r="AS77" s="2">
        <f>IF(AR$4=$E77, $I77*AR$55,0) + IF(AR$4&gt;$E77,MIN(AR77,$I77-SUM($J77:AR77)))</f>
        <v>3.952680214362458</v>
      </c>
      <c r="AT77" s="2">
        <f>IF(AS$4=$E77, $I77*AS$55,0) + IF(AS$4&gt;$E77,MIN(AS77,$I77-SUM($J77:AS77)))</f>
        <v>3.952680214362458</v>
      </c>
      <c r="AU77" s="2">
        <f>IF(AT$4=$E77, $I77*AT$55,0) + IF(AT$4&gt;$E77,MIN(AT77,$I77-SUM($J77:AT77)))</f>
        <v>3.952680214362458</v>
      </c>
      <c r="AV77" s="2">
        <f>IF(AU$4=$E77, $I77*AU$55,0) + IF(AU$4&gt;$E77,MIN(AU77,$I77-SUM($J77:AU77)))</f>
        <v>3.952680214362458</v>
      </c>
      <c r="AW77" s="2"/>
    </row>
    <row r="78" spans="5:49" ht="15" outlineLevel="1">
      <c r="E78" s="44">
        <f>INDEX($K$4:$AV$4,,COUNT(E$65:E77)+1)</f>
        <v>37711</v>
      </c>
      <c r="G78" s="2" t="s">
        <v>105</v>
      </c>
      <c r="I78" s="2">
        <f t="shared" si="62"/>
        <v>152.1201964892596</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4.5681740687465346</v>
      </c>
      <c r="Y78" s="2">
        <f>IF(X$4=$E78, $I78*X$55,0) + IF(X$4&gt;$E78,MIN(X78,$I78-SUM($J78:X78)))</f>
        <v>4.5681740687465346</v>
      </c>
      <c r="Z78" s="2">
        <f>IF(Y$4=$E78, $I78*Y$55,0) + IF(Y$4&gt;$E78,MIN(Y78,$I78-SUM($J78:Y78)))</f>
        <v>4.5681740687465346</v>
      </c>
      <c r="AA78" s="2">
        <f>IF(Z$4=$E78, $I78*Z$55,0) + IF(Z$4&gt;$E78,MIN(Z78,$I78-SUM($J78:Z78)))</f>
        <v>4.5681740687465346</v>
      </c>
      <c r="AB78" s="2">
        <f>IF(AA$4=$E78, $I78*AA$55,0) + IF(AA$4&gt;$E78,MIN(AA78,$I78-SUM($J78:AA78)))</f>
        <v>4.5681740687465346</v>
      </c>
      <c r="AC78" s="2">
        <f>IF(AB$4=$E78, $I78*AB$55,0) + IF(AB$4&gt;$E78,MIN(AB78,$I78-SUM($J78:AB78)))</f>
        <v>4.5681740687465346</v>
      </c>
      <c r="AD78" s="2">
        <f>IF(AC$4=$E78, $I78*AC$55,0) + IF(AC$4&gt;$E78,MIN(AC78,$I78-SUM($J78:AC78)))</f>
        <v>4.5681740687465346</v>
      </c>
      <c r="AE78" s="2">
        <f>IF(AD$4=$E78, $I78*AD$55,0) + IF(AD$4&gt;$E78,MIN(AD78,$I78-SUM($J78:AD78)))</f>
        <v>4.5681740687465346</v>
      </c>
      <c r="AF78" s="2">
        <f>IF(AE$4=$E78, $I78*AE$55,0) + IF(AE$4&gt;$E78,MIN(AE78,$I78-SUM($J78:AE78)))</f>
        <v>4.5681740687465346</v>
      </c>
      <c r="AG78" s="2">
        <f>IF(AF$4=$E78, $I78*AF$55,0) + IF(AF$4&gt;$E78,MIN(AF78,$I78-SUM($J78:AF78)))</f>
        <v>4.5681740687465346</v>
      </c>
      <c r="AH78" s="2">
        <f>IF(AG$4=$E78, $I78*AG$55,0) + IF(AG$4&gt;$E78,MIN(AG78,$I78-SUM($J78:AG78)))</f>
        <v>4.5681740687465346</v>
      </c>
      <c r="AI78" s="2">
        <f>IF(AH$4=$E78, $I78*AH$55,0) + IF(AH$4&gt;$E78,MIN(AH78,$I78-SUM($J78:AH78)))</f>
        <v>4.5681740687465346</v>
      </c>
      <c r="AJ78" s="2">
        <f>IF(AI$4=$E78, $I78*AI$55,0) + IF(AI$4&gt;$E78,MIN(AI78,$I78-SUM($J78:AI78)))</f>
        <v>4.5681740687465346</v>
      </c>
      <c r="AK78" s="2">
        <f>IF(AJ$4=$E78, $I78*AJ$55,0) + IF(AJ$4&gt;$E78,MIN(AJ78,$I78-SUM($J78:AJ78)))</f>
        <v>4.5681740687465346</v>
      </c>
      <c r="AL78" s="2">
        <f>IF(AK$4=$E78, $I78*AK$55,0) + IF(AK$4&gt;$E78,MIN(AK78,$I78-SUM($J78:AK78)))</f>
        <v>4.5681740687465346</v>
      </c>
      <c r="AM78" s="2">
        <f>IF(AL$4=$E78, $I78*AL$55,0) + IF(AL$4&gt;$E78,MIN(AL78,$I78-SUM($J78:AL78)))</f>
        <v>4.5681740687465346</v>
      </c>
      <c r="AN78" s="2">
        <f>IF(AM$4=$E78, $I78*AM$55,0) + IF(AM$4&gt;$E78,MIN(AM78,$I78-SUM($J78:AM78)))</f>
        <v>4.5681740687465346</v>
      </c>
      <c r="AO78" s="2">
        <f>IF(AN$4=$E78, $I78*AN$55,0) + IF(AN$4&gt;$E78,MIN(AN78,$I78-SUM($J78:AN78)))</f>
        <v>4.5681740687465346</v>
      </c>
      <c r="AP78" s="2">
        <f>IF(AO$4=$E78, $I78*AO$55,0) + IF(AO$4&gt;$E78,MIN(AO78,$I78-SUM($J78:AO78)))</f>
        <v>4.5681740687465346</v>
      </c>
      <c r="AQ78" s="57">
        <f>IF(AP$4=$E78, $I78*AP$55,0) + IF(AP$4&gt;$E78,MIN(AP78,$I78-SUM($J78:AP78)))</f>
        <v>4.5681740687465346</v>
      </c>
      <c r="AR78" s="2">
        <f>IF(AQ$4=$E78, $I78*AQ$55,0) + IF(AQ$4&gt;$E78,MIN(AQ78,$I78-SUM($J78:AQ78)))</f>
        <v>4.5681740687465346</v>
      </c>
      <c r="AS78" s="2">
        <f>IF(AR$4=$E78, $I78*AR$55,0) + IF(AR$4&gt;$E78,MIN(AR78,$I78-SUM($J78:AR78)))</f>
        <v>4.5681740687465346</v>
      </c>
      <c r="AT78" s="2">
        <f>IF(AS$4=$E78, $I78*AS$55,0) + IF(AS$4&gt;$E78,MIN(AS78,$I78-SUM($J78:AS78)))</f>
        <v>4.5681740687465346</v>
      </c>
      <c r="AU78" s="2">
        <f>IF(AT$4=$E78, $I78*AT$55,0) + IF(AT$4&gt;$E78,MIN(AT78,$I78-SUM($J78:AT78)))</f>
        <v>4.5681740687465346</v>
      </c>
      <c r="AV78" s="2">
        <f>IF(AU$4=$E78, $I78*AU$55,0) + IF(AU$4&gt;$E78,MIN(AU78,$I78-SUM($J78:AU78)))</f>
        <v>4.5681740687465346</v>
      </c>
      <c r="AW78" s="2"/>
    </row>
    <row r="79" spans="5:49" ht="15" outlineLevel="1">
      <c r="E79" s="44">
        <f>INDEX($K$4:$AV$4,,COUNT(E$65:E78)+1)</f>
        <v>38077</v>
      </c>
      <c r="G79" s="2" t="s">
        <v>105</v>
      </c>
      <c r="I79" s="2">
        <f t="shared" si="62"/>
        <v>179.58715805818156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5.3930077494949424</v>
      </c>
      <c r="Z79" s="2">
        <f>IF(Y$4=$E79, $I79*Y$55,0) + IF(Y$4&gt;$E79,MIN(Y79,$I79-SUM($J79:Y79)))</f>
        <v>5.3930077494949424</v>
      </c>
      <c r="AA79" s="2">
        <f>IF(Z$4=$E79, $I79*Z$55,0) + IF(Z$4&gt;$E79,MIN(Z79,$I79-SUM($J79:Z79)))</f>
        <v>5.3930077494949424</v>
      </c>
      <c r="AB79" s="2">
        <f>IF(AA$4=$E79, $I79*AA$55,0) + IF(AA$4&gt;$E79,MIN(AA79,$I79-SUM($J79:AA79)))</f>
        <v>5.3930077494949424</v>
      </c>
      <c r="AC79" s="2">
        <f>IF(AB$4=$E79, $I79*AB$55,0) + IF(AB$4&gt;$E79,MIN(AB79,$I79-SUM($J79:AB79)))</f>
        <v>5.3930077494949424</v>
      </c>
      <c r="AD79" s="2">
        <f>IF(AC$4=$E79, $I79*AC$55,0) + IF(AC$4&gt;$E79,MIN(AC79,$I79-SUM($J79:AC79)))</f>
        <v>5.3930077494949424</v>
      </c>
      <c r="AE79" s="2">
        <f>IF(AD$4=$E79, $I79*AD$55,0) + IF(AD$4&gt;$E79,MIN(AD79,$I79-SUM($J79:AD79)))</f>
        <v>5.3930077494949424</v>
      </c>
      <c r="AF79" s="2">
        <f>IF(AE$4=$E79, $I79*AE$55,0) + IF(AE$4&gt;$E79,MIN(AE79,$I79-SUM($J79:AE79)))</f>
        <v>5.3930077494949424</v>
      </c>
      <c r="AG79" s="2">
        <f>IF(AF$4=$E79, $I79*AF$55,0) + IF(AF$4&gt;$E79,MIN(AF79,$I79-SUM($J79:AF79)))</f>
        <v>5.3930077494949424</v>
      </c>
      <c r="AH79" s="2">
        <f>IF(AG$4=$E79, $I79*AG$55,0) + IF(AG$4&gt;$E79,MIN(AG79,$I79-SUM($J79:AG79)))</f>
        <v>5.3930077494949424</v>
      </c>
      <c r="AI79" s="2">
        <f>IF(AH$4=$E79, $I79*AH$55,0) + IF(AH$4&gt;$E79,MIN(AH79,$I79-SUM($J79:AH79)))</f>
        <v>5.3930077494949424</v>
      </c>
      <c r="AJ79" s="2">
        <f>IF(AI$4=$E79, $I79*AI$55,0) + IF(AI$4&gt;$E79,MIN(AI79,$I79-SUM($J79:AI79)))</f>
        <v>5.3930077494949424</v>
      </c>
      <c r="AK79" s="2">
        <f>IF(AJ$4=$E79, $I79*AJ$55,0) + IF(AJ$4&gt;$E79,MIN(AJ79,$I79-SUM($J79:AJ79)))</f>
        <v>5.3930077494949424</v>
      </c>
      <c r="AL79" s="2">
        <f>IF(AK$4=$E79, $I79*AK$55,0) + IF(AK$4&gt;$E79,MIN(AK79,$I79-SUM($J79:AK79)))</f>
        <v>5.3930077494949424</v>
      </c>
      <c r="AM79" s="2">
        <f>IF(AL$4=$E79, $I79*AL$55,0) + IF(AL$4&gt;$E79,MIN(AL79,$I79-SUM($J79:AL79)))</f>
        <v>5.3930077494949424</v>
      </c>
      <c r="AN79" s="2">
        <f>IF(AM$4=$E79, $I79*AM$55,0) + IF(AM$4&gt;$E79,MIN(AM79,$I79-SUM($J79:AM79)))</f>
        <v>5.3930077494949424</v>
      </c>
      <c r="AO79" s="2">
        <f>IF(AN$4=$E79, $I79*AN$55,0) + IF(AN$4&gt;$E79,MIN(AN79,$I79-SUM($J79:AN79)))</f>
        <v>5.3930077494949424</v>
      </c>
      <c r="AP79" s="2">
        <f>IF(AO$4=$E79, $I79*AO$55,0) + IF(AO$4&gt;$E79,MIN(AO79,$I79-SUM($J79:AO79)))</f>
        <v>5.3930077494949424</v>
      </c>
      <c r="AQ79" s="57">
        <f>IF(AP$4=$E79, $I79*AP$55,0) + IF(AP$4&gt;$E79,MIN(AP79,$I79-SUM($J79:AP79)))</f>
        <v>5.3930077494949424</v>
      </c>
      <c r="AR79" s="2">
        <f>IF(AQ$4=$E79, $I79*AQ$55,0) + IF(AQ$4&gt;$E79,MIN(AQ79,$I79-SUM($J79:AQ79)))</f>
        <v>5.3930077494949424</v>
      </c>
      <c r="AS79" s="2">
        <f>IF(AR$4=$E79, $I79*AR$55,0) + IF(AR$4&gt;$E79,MIN(AR79,$I79-SUM($J79:AR79)))</f>
        <v>5.3930077494949424</v>
      </c>
      <c r="AT79" s="2">
        <f>IF(AS$4=$E79, $I79*AS$55,0) + IF(AS$4&gt;$E79,MIN(AS79,$I79-SUM($J79:AS79)))</f>
        <v>5.3930077494949424</v>
      </c>
      <c r="AU79" s="2">
        <f>IF(AT$4=$E79, $I79*AT$55,0) + IF(AT$4&gt;$E79,MIN(AT79,$I79-SUM($J79:AT79)))</f>
        <v>5.3930077494949424</v>
      </c>
      <c r="AV79" s="2">
        <f>IF(AU$4=$E79, $I79*AU$55,0) + IF(AU$4&gt;$E79,MIN(AU79,$I79-SUM($J79:AU79)))</f>
        <v>5.3930077494949424</v>
      </c>
      <c r="AW79" s="2"/>
    </row>
    <row r="80" spans="5:49" ht="15" outlineLevel="1">
      <c r="E80" s="44">
        <f>INDEX($K$4:$AV$4,,COUNT(E$65:E79)+1)</f>
        <v>38442</v>
      </c>
      <c r="G80" s="2" t="s">
        <v>105</v>
      </c>
      <c r="I80" s="2">
        <f t="shared" si="62"/>
        <v>173.32006211906727</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5.2048066702422613</v>
      </c>
      <c r="AA80" s="2">
        <f>IF(Z$4=$E80, $I80*Z$55,0) + IF(Z$4&gt;$E80,MIN(Z80,$I80-SUM($J80:Z80)))</f>
        <v>5.2048066702422613</v>
      </c>
      <c r="AB80" s="2">
        <f>IF(AA$4=$E80, $I80*AA$55,0) + IF(AA$4&gt;$E80,MIN(AA80,$I80-SUM($J80:AA80)))</f>
        <v>5.2048066702422613</v>
      </c>
      <c r="AC80" s="2">
        <f>IF(AB$4=$E80, $I80*AB$55,0) + IF(AB$4&gt;$E80,MIN(AB80,$I80-SUM($J80:AB80)))</f>
        <v>5.2048066702422613</v>
      </c>
      <c r="AD80" s="2">
        <f>IF(AC$4=$E80, $I80*AC$55,0) + IF(AC$4&gt;$E80,MIN(AC80,$I80-SUM($J80:AC80)))</f>
        <v>5.2048066702422613</v>
      </c>
      <c r="AE80" s="2">
        <f>IF(AD$4=$E80, $I80*AD$55,0) + IF(AD$4&gt;$E80,MIN(AD80,$I80-SUM($J80:AD80)))</f>
        <v>5.2048066702422613</v>
      </c>
      <c r="AF80" s="2">
        <f>IF(AE$4=$E80, $I80*AE$55,0) + IF(AE$4&gt;$E80,MIN(AE80,$I80-SUM($J80:AE80)))</f>
        <v>5.2048066702422613</v>
      </c>
      <c r="AG80" s="2">
        <f>IF(AF$4=$E80, $I80*AF$55,0) + IF(AF$4&gt;$E80,MIN(AF80,$I80-SUM($J80:AF80)))</f>
        <v>5.2048066702422613</v>
      </c>
      <c r="AH80" s="2">
        <f>IF(AG$4=$E80, $I80*AG$55,0) + IF(AG$4&gt;$E80,MIN(AG80,$I80-SUM($J80:AG80)))</f>
        <v>5.2048066702422613</v>
      </c>
      <c r="AI80" s="2">
        <f>IF(AH$4=$E80, $I80*AH$55,0) + IF(AH$4&gt;$E80,MIN(AH80,$I80-SUM($J80:AH80)))</f>
        <v>5.2048066702422613</v>
      </c>
      <c r="AJ80" s="2">
        <f>IF(AI$4=$E80, $I80*AI$55,0) + IF(AI$4&gt;$E80,MIN(AI80,$I80-SUM($J80:AI80)))</f>
        <v>5.2048066702422613</v>
      </c>
      <c r="AK80" s="2">
        <f>IF(AJ$4=$E80, $I80*AJ$55,0) + IF(AJ$4&gt;$E80,MIN(AJ80,$I80-SUM($J80:AJ80)))</f>
        <v>5.2048066702422613</v>
      </c>
      <c r="AL80" s="2">
        <f>IF(AK$4=$E80, $I80*AK$55,0) + IF(AK$4&gt;$E80,MIN(AK80,$I80-SUM($J80:AK80)))</f>
        <v>5.2048066702422613</v>
      </c>
      <c r="AM80" s="2">
        <f>IF(AL$4=$E80, $I80*AL$55,0) + IF(AL$4&gt;$E80,MIN(AL80,$I80-SUM($J80:AL80)))</f>
        <v>5.2048066702422613</v>
      </c>
      <c r="AN80" s="2">
        <f>IF(AM$4=$E80, $I80*AM$55,0) + IF(AM$4&gt;$E80,MIN(AM80,$I80-SUM($J80:AM80)))</f>
        <v>5.2048066702422613</v>
      </c>
      <c r="AO80" s="2">
        <f>IF(AN$4=$E80, $I80*AN$55,0) + IF(AN$4&gt;$E80,MIN(AN80,$I80-SUM($J80:AN80)))</f>
        <v>5.2048066702422613</v>
      </c>
      <c r="AP80" s="2">
        <f>IF(AO$4=$E80, $I80*AO$55,0) + IF(AO$4&gt;$E80,MIN(AO80,$I80-SUM($J80:AO80)))</f>
        <v>5.2048066702422613</v>
      </c>
      <c r="AQ80" s="57">
        <f>IF(AP$4=$E80, $I80*AP$55,0) + IF(AP$4&gt;$E80,MIN(AP80,$I80-SUM($J80:AP80)))</f>
        <v>5.2048066702422613</v>
      </c>
      <c r="AR80" s="2">
        <f>IF(AQ$4=$E80, $I80*AQ$55,0) + IF(AQ$4&gt;$E80,MIN(AQ80,$I80-SUM($J80:AQ80)))</f>
        <v>5.2048066702422613</v>
      </c>
      <c r="AS80" s="2">
        <f>IF(AR$4=$E80, $I80*AR$55,0) + IF(AR$4&gt;$E80,MIN(AR80,$I80-SUM($J80:AR80)))</f>
        <v>5.2048066702422613</v>
      </c>
      <c r="AT80" s="2">
        <f>IF(AS$4=$E80, $I80*AS$55,0) + IF(AS$4&gt;$E80,MIN(AS80,$I80-SUM($J80:AS80)))</f>
        <v>5.2048066702422613</v>
      </c>
      <c r="AU80" s="2">
        <f>IF(AT$4=$E80, $I80*AT$55,0) + IF(AT$4&gt;$E80,MIN(AT80,$I80-SUM($J80:AT80)))</f>
        <v>5.2048066702422613</v>
      </c>
      <c r="AV80" s="2">
        <f>IF(AU$4=$E80, $I80*AU$55,0) + IF(AU$4&gt;$E80,MIN(AU80,$I80-SUM($J80:AU80)))</f>
        <v>5.2048066702422613</v>
      </c>
      <c r="AW80" s="2"/>
    </row>
    <row r="81" spans="5:49" ht="15" outlineLevel="1">
      <c r="E81" s="44">
        <f>INDEX($K$4:$AV$4,,COUNT(E$65:E80)+1)</f>
        <v>38807</v>
      </c>
      <c r="G81" s="2" t="s">
        <v>105</v>
      </c>
      <c r="I81" s="2">
        <f t="shared" si="62"/>
        <v>203.36386369721032</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6.1070229338501605</v>
      </c>
      <c r="AB81" s="2">
        <f>IF(AA$4=$E81, $I81*AA$55,0) + IF(AA$4&gt;$E81,MIN(AA81,$I81-SUM($J81:AA81)))</f>
        <v>6.1070229338501605</v>
      </c>
      <c r="AC81" s="2">
        <f>IF(AB$4=$E81, $I81*AB$55,0) + IF(AB$4&gt;$E81,MIN(AB81,$I81-SUM($J81:AB81)))</f>
        <v>6.1070229338501605</v>
      </c>
      <c r="AD81" s="2">
        <f>IF(AC$4=$E81, $I81*AC$55,0) + IF(AC$4&gt;$E81,MIN(AC81,$I81-SUM($J81:AC81)))</f>
        <v>6.1070229338501605</v>
      </c>
      <c r="AE81" s="2">
        <f>IF(AD$4=$E81, $I81*AD$55,0) + IF(AD$4&gt;$E81,MIN(AD81,$I81-SUM($J81:AD81)))</f>
        <v>6.1070229338501605</v>
      </c>
      <c r="AF81" s="2">
        <f>IF(AE$4=$E81, $I81*AE$55,0) + IF(AE$4&gt;$E81,MIN(AE81,$I81-SUM($J81:AE81)))</f>
        <v>6.1070229338501605</v>
      </c>
      <c r="AG81" s="2">
        <f>IF(AF$4=$E81, $I81*AF$55,0) + IF(AF$4&gt;$E81,MIN(AF81,$I81-SUM($J81:AF81)))</f>
        <v>6.1070229338501605</v>
      </c>
      <c r="AH81" s="2">
        <f>IF(AG$4=$E81, $I81*AG$55,0) + IF(AG$4&gt;$E81,MIN(AG81,$I81-SUM($J81:AG81)))</f>
        <v>6.1070229338501605</v>
      </c>
      <c r="AI81" s="2">
        <f>IF(AH$4=$E81, $I81*AH$55,0) + IF(AH$4&gt;$E81,MIN(AH81,$I81-SUM($J81:AH81)))</f>
        <v>6.1070229338501605</v>
      </c>
      <c r="AJ81" s="2">
        <f>IF(AI$4=$E81, $I81*AI$55,0) + IF(AI$4&gt;$E81,MIN(AI81,$I81-SUM($J81:AI81)))</f>
        <v>6.1070229338501605</v>
      </c>
      <c r="AK81" s="2">
        <f>IF(AJ$4=$E81, $I81*AJ$55,0) + IF(AJ$4&gt;$E81,MIN(AJ81,$I81-SUM($J81:AJ81)))</f>
        <v>6.1070229338501605</v>
      </c>
      <c r="AL81" s="2">
        <f>IF(AK$4=$E81, $I81*AK$55,0) + IF(AK$4&gt;$E81,MIN(AK81,$I81-SUM($J81:AK81)))</f>
        <v>6.1070229338501605</v>
      </c>
      <c r="AM81" s="2">
        <f>IF(AL$4=$E81, $I81*AL$55,0) + IF(AL$4&gt;$E81,MIN(AL81,$I81-SUM($J81:AL81)))</f>
        <v>6.1070229338501605</v>
      </c>
      <c r="AN81" s="2">
        <f>IF(AM$4=$E81, $I81*AM$55,0) + IF(AM$4&gt;$E81,MIN(AM81,$I81-SUM($J81:AM81)))</f>
        <v>6.1070229338501605</v>
      </c>
      <c r="AO81" s="2">
        <f>IF(AN$4=$E81, $I81*AN$55,0) + IF(AN$4&gt;$E81,MIN(AN81,$I81-SUM($J81:AN81)))</f>
        <v>6.1070229338501605</v>
      </c>
      <c r="AP81" s="2">
        <f>IF(AO$4=$E81, $I81*AO$55,0) + IF(AO$4&gt;$E81,MIN(AO81,$I81-SUM($J81:AO81)))</f>
        <v>6.1070229338501605</v>
      </c>
      <c r="AQ81" s="57">
        <f>IF(AP$4=$E81, $I81*AP$55,0) + IF(AP$4&gt;$E81,MIN(AP81,$I81-SUM($J81:AP81)))</f>
        <v>6.1070229338501605</v>
      </c>
      <c r="AR81" s="2">
        <f>IF(AQ$4=$E81, $I81*AQ$55,0) + IF(AQ$4&gt;$E81,MIN(AQ81,$I81-SUM($J81:AQ81)))</f>
        <v>6.1070229338501605</v>
      </c>
      <c r="AS81" s="2">
        <f>IF(AR$4=$E81, $I81*AR$55,0) + IF(AR$4&gt;$E81,MIN(AR81,$I81-SUM($J81:AR81)))</f>
        <v>6.1070229338501605</v>
      </c>
      <c r="AT81" s="2">
        <f>IF(AS$4=$E81, $I81*AS$55,0) + IF(AS$4&gt;$E81,MIN(AS81,$I81-SUM($J81:AS81)))</f>
        <v>6.1070229338501605</v>
      </c>
      <c r="AU81" s="2">
        <f>IF(AT$4=$E81, $I81*AT$55,0) + IF(AT$4&gt;$E81,MIN(AT81,$I81-SUM($J81:AT81)))</f>
        <v>6.1070229338501605</v>
      </c>
      <c r="AV81" s="2">
        <f>IF(AU$4=$E81, $I81*AU$55,0) + IF(AU$4&gt;$E81,MIN(AU81,$I81-SUM($J81:AU81)))</f>
        <v>6.1070229338501605</v>
      </c>
      <c r="AW81" s="2"/>
    </row>
    <row r="82" spans="5:49" ht="15" outlineLevel="1">
      <c r="E82" s="44">
        <f>INDEX($K$4:$AV$4,,COUNT(E$65:E81)+1)</f>
        <v>39172</v>
      </c>
      <c r="G82" s="2" t="s">
        <v>105</v>
      </c>
      <c r="I82" s="2">
        <f t="shared" si="62"/>
        <v>128.05389332658407</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3.8454622620595824</v>
      </c>
      <c r="AC82" s="2">
        <f>IF(AB$4=$E82, $I82*AB$55,0) + IF(AB$4&gt;$E82,MIN(AB82,$I82-SUM($J82:AB82)))</f>
        <v>3.8454622620595824</v>
      </c>
      <c r="AD82" s="2">
        <f>IF(AC$4=$E82, $I82*AC$55,0) + IF(AC$4&gt;$E82,MIN(AC82,$I82-SUM($J82:AC82)))</f>
        <v>3.8454622620595824</v>
      </c>
      <c r="AE82" s="2">
        <f>IF(AD$4=$E82, $I82*AD$55,0) + IF(AD$4&gt;$E82,MIN(AD82,$I82-SUM($J82:AD82)))</f>
        <v>3.8454622620595824</v>
      </c>
      <c r="AF82" s="2">
        <f>IF(AE$4=$E82, $I82*AE$55,0) + IF(AE$4&gt;$E82,MIN(AE82,$I82-SUM($J82:AE82)))</f>
        <v>3.8454622620595824</v>
      </c>
      <c r="AG82" s="2">
        <f>IF(AF$4=$E82, $I82*AF$55,0) + IF(AF$4&gt;$E82,MIN(AF82,$I82-SUM($J82:AF82)))</f>
        <v>3.8454622620595824</v>
      </c>
      <c r="AH82" s="2">
        <f>IF(AG$4=$E82, $I82*AG$55,0) + IF(AG$4&gt;$E82,MIN(AG82,$I82-SUM($J82:AG82)))</f>
        <v>3.8454622620595824</v>
      </c>
      <c r="AI82" s="2">
        <f>IF(AH$4=$E82, $I82*AH$55,0) + IF(AH$4&gt;$E82,MIN(AH82,$I82-SUM($J82:AH82)))</f>
        <v>3.8454622620595824</v>
      </c>
      <c r="AJ82" s="2">
        <f>IF(AI$4=$E82, $I82*AI$55,0) + IF(AI$4&gt;$E82,MIN(AI82,$I82-SUM($J82:AI82)))</f>
        <v>3.8454622620595824</v>
      </c>
      <c r="AK82" s="2">
        <f>IF(AJ$4=$E82, $I82*AJ$55,0) + IF(AJ$4&gt;$E82,MIN(AJ82,$I82-SUM($J82:AJ82)))</f>
        <v>3.8454622620595824</v>
      </c>
      <c r="AL82" s="2">
        <f>IF(AK$4=$E82, $I82*AK$55,0) + IF(AK$4&gt;$E82,MIN(AK82,$I82-SUM($J82:AK82)))</f>
        <v>3.8454622620595824</v>
      </c>
      <c r="AM82" s="2">
        <f>IF(AL$4=$E82, $I82*AL$55,0) + IF(AL$4&gt;$E82,MIN(AL82,$I82-SUM($J82:AL82)))</f>
        <v>3.8454622620595824</v>
      </c>
      <c r="AN82" s="2">
        <f>IF(AM$4=$E82, $I82*AM$55,0) + IF(AM$4&gt;$E82,MIN(AM82,$I82-SUM($J82:AM82)))</f>
        <v>3.8454622620595824</v>
      </c>
      <c r="AO82" s="2">
        <f>IF(AN$4=$E82, $I82*AN$55,0) + IF(AN$4&gt;$E82,MIN(AN82,$I82-SUM($J82:AN82)))</f>
        <v>3.8454622620595824</v>
      </c>
      <c r="AP82" s="2">
        <f>IF(AO$4=$E82, $I82*AO$55,0) + IF(AO$4&gt;$E82,MIN(AO82,$I82-SUM($J82:AO82)))</f>
        <v>3.8454622620595824</v>
      </c>
      <c r="AQ82" s="57">
        <f>IF(AP$4=$E82, $I82*AP$55,0) + IF(AP$4&gt;$E82,MIN(AP82,$I82-SUM($J82:AP82)))</f>
        <v>3.8454622620595824</v>
      </c>
      <c r="AR82" s="2">
        <f>IF(AQ$4=$E82, $I82*AQ$55,0) + IF(AQ$4&gt;$E82,MIN(AQ82,$I82-SUM($J82:AQ82)))</f>
        <v>3.8454622620595824</v>
      </c>
      <c r="AS82" s="2">
        <f>IF(AR$4=$E82, $I82*AR$55,0) + IF(AR$4&gt;$E82,MIN(AR82,$I82-SUM($J82:AR82)))</f>
        <v>3.8454622620595824</v>
      </c>
      <c r="AT82" s="2">
        <f>IF(AS$4=$E82, $I82*AS$55,0) + IF(AS$4&gt;$E82,MIN(AS82,$I82-SUM($J82:AS82)))</f>
        <v>3.8454622620595824</v>
      </c>
      <c r="AU82" s="2">
        <f>IF(AT$4=$E82, $I82*AT$55,0) + IF(AT$4&gt;$E82,MIN(AT82,$I82-SUM($J82:AT82)))</f>
        <v>3.8454622620595824</v>
      </c>
      <c r="AV82" s="2">
        <f>IF(AU$4=$E82, $I82*AU$55,0) + IF(AU$4&gt;$E82,MIN(AU82,$I82-SUM($J82:AU82)))</f>
        <v>3.8454622620595824</v>
      </c>
      <c r="AW82" s="2"/>
    </row>
    <row r="83" spans="5:49" ht="15" outlineLevel="1">
      <c r="E83" s="44">
        <f>INDEX($K$4:$AV$4,,COUNT(E$65:E82)+1)</f>
        <v>39538</v>
      </c>
      <c r="G83" s="2" t="s">
        <v>105</v>
      </c>
      <c r="I83" s="2">
        <f t="shared" si="62"/>
        <v>157.80709395436162</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4.7389517704012505</v>
      </c>
      <c r="AD83" s="2">
        <f>IF(AC$4=$E83, $I83*AC$55,0) + IF(AC$4&gt;$E83,MIN(AC83,$I83-SUM($J83:AC83)))</f>
        <v>4.7389517704012505</v>
      </c>
      <c r="AE83" s="2">
        <f>IF(AD$4=$E83, $I83*AD$55,0) + IF(AD$4&gt;$E83,MIN(AD83,$I83-SUM($J83:AD83)))</f>
        <v>4.7389517704012505</v>
      </c>
      <c r="AF83" s="2">
        <f>IF(AE$4=$E83, $I83*AE$55,0) + IF(AE$4&gt;$E83,MIN(AE83,$I83-SUM($J83:AE83)))</f>
        <v>4.7389517704012505</v>
      </c>
      <c r="AG83" s="2">
        <f>IF(AF$4=$E83, $I83*AF$55,0) + IF(AF$4&gt;$E83,MIN(AF83,$I83-SUM($J83:AF83)))</f>
        <v>4.7389517704012505</v>
      </c>
      <c r="AH83" s="2">
        <f>IF(AG$4=$E83, $I83*AG$55,0) + IF(AG$4&gt;$E83,MIN(AG83,$I83-SUM($J83:AG83)))</f>
        <v>4.7389517704012505</v>
      </c>
      <c r="AI83" s="2">
        <f>IF(AH$4=$E83, $I83*AH$55,0) + IF(AH$4&gt;$E83,MIN(AH83,$I83-SUM($J83:AH83)))</f>
        <v>4.7389517704012505</v>
      </c>
      <c r="AJ83" s="2">
        <f>IF(AI$4=$E83, $I83*AI$55,0) + IF(AI$4&gt;$E83,MIN(AI83,$I83-SUM($J83:AI83)))</f>
        <v>4.7389517704012505</v>
      </c>
      <c r="AK83" s="2">
        <f>IF(AJ$4=$E83, $I83*AJ$55,0) + IF(AJ$4&gt;$E83,MIN(AJ83,$I83-SUM($J83:AJ83)))</f>
        <v>4.7389517704012505</v>
      </c>
      <c r="AL83" s="2">
        <f>IF(AK$4=$E83, $I83*AK$55,0) + IF(AK$4&gt;$E83,MIN(AK83,$I83-SUM($J83:AK83)))</f>
        <v>4.7389517704012505</v>
      </c>
      <c r="AM83" s="2">
        <f>IF(AL$4=$E83, $I83*AL$55,0) + IF(AL$4&gt;$E83,MIN(AL83,$I83-SUM($J83:AL83)))</f>
        <v>4.7389517704012505</v>
      </c>
      <c r="AN83" s="2">
        <f>IF(AM$4=$E83, $I83*AM$55,0) + IF(AM$4&gt;$E83,MIN(AM83,$I83-SUM($J83:AM83)))</f>
        <v>4.7389517704012505</v>
      </c>
      <c r="AO83" s="2">
        <f>IF(AN$4=$E83, $I83*AN$55,0) + IF(AN$4&gt;$E83,MIN(AN83,$I83-SUM($J83:AN83)))</f>
        <v>4.7389517704012505</v>
      </c>
      <c r="AP83" s="2">
        <f>IF(AO$4=$E83, $I83*AO$55,0) + IF(AO$4&gt;$E83,MIN(AO83,$I83-SUM($J83:AO83)))</f>
        <v>4.7389517704012505</v>
      </c>
      <c r="AQ83" s="57">
        <f>IF(AP$4=$E83, $I83*AP$55,0) + IF(AP$4&gt;$E83,MIN(AP83,$I83-SUM($J83:AP83)))</f>
        <v>4.7389517704012505</v>
      </c>
      <c r="AR83" s="2">
        <f>IF(AQ$4=$E83, $I83*AQ$55,0) + IF(AQ$4&gt;$E83,MIN(AQ83,$I83-SUM($J83:AQ83)))</f>
        <v>4.7389517704012505</v>
      </c>
      <c r="AS83" s="2">
        <f>IF(AR$4=$E83, $I83*AR$55,0) + IF(AR$4&gt;$E83,MIN(AR83,$I83-SUM($J83:AR83)))</f>
        <v>4.7389517704012505</v>
      </c>
      <c r="AT83" s="2">
        <f>IF(AS$4=$E83, $I83*AS$55,0) + IF(AS$4&gt;$E83,MIN(AS83,$I83-SUM($J83:AS83)))</f>
        <v>4.7389517704012505</v>
      </c>
      <c r="AU83" s="2">
        <f>IF(AT$4=$E83, $I83*AT$55,0) + IF(AT$4&gt;$E83,MIN(AT83,$I83-SUM($J83:AT83)))</f>
        <v>4.7389517704012505</v>
      </c>
      <c r="AV83" s="2">
        <f>IF(AU$4=$E83, $I83*AU$55,0) + IF(AU$4&gt;$E83,MIN(AU83,$I83-SUM($J83:AU83)))</f>
        <v>4.7389517704012505</v>
      </c>
      <c r="AW83" s="2"/>
    </row>
    <row r="84" spans="5:49" ht="15" outlineLevel="1">
      <c r="E84" s="44">
        <f>INDEX($K$4:$AV$4,,COUNT(E$65:E83)+1)</f>
        <v>39903</v>
      </c>
      <c r="G84" s="2" t="s">
        <v>105</v>
      </c>
      <c r="I84" s="2">
        <f t="shared" si="62"/>
        <v>173.39101420035695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5.2069373633740828</v>
      </c>
      <c r="AE84" s="2">
        <f>IF(AD$4=$E84, $I84*AD$55,0) + IF(AD$4&gt;$E84,MIN(AD84,$I84-SUM($J84:AD84)))</f>
        <v>5.2069373633740828</v>
      </c>
      <c r="AF84" s="2">
        <f>IF(AE$4=$E84, $I84*AE$55,0) + IF(AE$4&gt;$E84,MIN(AE84,$I84-SUM($J84:AE84)))</f>
        <v>5.2069373633740828</v>
      </c>
      <c r="AG84" s="2">
        <f>IF(AF$4=$E84, $I84*AF$55,0) + IF(AF$4&gt;$E84,MIN(AF84,$I84-SUM($J84:AF84)))</f>
        <v>5.2069373633740828</v>
      </c>
      <c r="AH84" s="2">
        <f>IF(AG$4=$E84, $I84*AG$55,0) + IF(AG$4&gt;$E84,MIN(AG84,$I84-SUM($J84:AG84)))</f>
        <v>5.2069373633740828</v>
      </c>
      <c r="AI84" s="2">
        <f>IF(AH$4=$E84, $I84*AH$55,0) + IF(AH$4&gt;$E84,MIN(AH84,$I84-SUM($J84:AH84)))</f>
        <v>5.2069373633740828</v>
      </c>
      <c r="AJ84" s="2">
        <f>IF(AI$4=$E84, $I84*AI$55,0) + IF(AI$4&gt;$E84,MIN(AI84,$I84-SUM($J84:AI84)))</f>
        <v>5.2069373633740828</v>
      </c>
      <c r="AK84" s="2">
        <f>IF(AJ$4=$E84, $I84*AJ$55,0) + IF(AJ$4&gt;$E84,MIN(AJ84,$I84-SUM($J84:AJ84)))</f>
        <v>5.2069373633740828</v>
      </c>
      <c r="AL84" s="2">
        <f>IF(AK$4=$E84, $I84*AK$55,0) + IF(AK$4&gt;$E84,MIN(AK84,$I84-SUM($J84:AK84)))</f>
        <v>5.2069373633740828</v>
      </c>
      <c r="AM84" s="2">
        <f>IF(AL$4=$E84, $I84*AL$55,0) + IF(AL$4&gt;$E84,MIN(AL84,$I84-SUM($J84:AL84)))</f>
        <v>5.2069373633740828</v>
      </c>
      <c r="AN84" s="2">
        <f>IF(AM$4=$E84, $I84*AM$55,0) + IF(AM$4&gt;$E84,MIN(AM84,$I84-SUM($J84:AM84)))</f>
        <v>5.2069373633740828</v>
      </c>
      <c r="AO84" s="2">
        <f>IF(AN$4=$E84, $I84*AN$55,0) + IF(AN$4&gt;$E84,MIN(AN84,$I84-SUM($J84:AN84)))</f>
        <v>5.2069373633740828</v>
      </c>
      <c r="AP84" s="2">
        <f>IF(AO$4=$E84, $I84*AO$55,0) + IF(AO$4&gt;$E84,MIN(AO84,$I84-SUM($J84:AO84)))</f>
        <v>5.2069373633740828</v>
      </c>
      <c r="AQ84" s="57">
        <f>IF(AP$4=$E84, $I84*AP$55,0) + IF(AP$4&gt;$E84,MIN(AP84,$I84-SUM($J84:AP84)))</f>
        <v>5.2069373633740828</v>
      </c>
      <c r="AR84" s="2">
        <f>IF(AQ$4=$E84, $I84*AQ$55,0) + IF(AQ$4&gt;$E84,MIN(AQ84,$I84-SUM($J84:AQ84)))</f>
        <v>5.2069373633740828</v>
      </c>
      <c r="AS84" s="2">
        <f>IF(AR$4=$E84, $I84*AR$55,0) + IF(AR$4&gt;$E84,MIN(AR84,$I84-SUM($J84:AR84)))</f>
        <v>5.2069373633740828</v>
      </c>
      <c r="AT84" s="2">
        <f>IF(AS$4=$E84, $I84*AS$55,0) + IF(AS$4&gt;$E84,MIN(AS84,$I84-SUM($J84:AS84)))</f>
        <v>5.2069373633740828</v>
      </c>
      <c r="AU84" s="2">
        <f>IF(AT$4=$E84, $I84*AT$55,0) + IF(AT$4&gt;$E84,MIN(AT84,$I84-SUM($J84:AT84)))</f>
        <v>5.2069373633740828</v>
      </c>
      <c r="AV84" s="2">
        <f>IF(AU$4=$E84, $I84*AU$55,0) + IF(AU$4&gt;$E84,MIN(AU84,$I84-SUM($J84:AU84)))</f>
        <v>5.2069373633740828</v>
      </c>
      <c r="AW84" s="2"/>
    </row>
    <row r="85" spans="5:49" ht="15" outlineLevel="1">
      <c r="E85" s="44">
        <f>INDEX($K$4:$AV$4,,COUNT(E$65:E84)+1)</f>
        <v>40268</v>
      </c>
      <c r="G85" s="2" t="s">
        <v>105</v>
      </c>
      <c r="I85" s="2">
        <f t="shared" si="62"/>
        <v>158.41065966088121</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4.7570768666931302</v>
      </c>
      <c r="AF85" s="2">
        <f>IF(AE$4=$E85, $I85*AE$55,0) + IF(AE$4&gt;$E85,MIN(AE85,$I85-SUM($J85:AE85)))</f>
        <v>4.7570768666931302</v>
      </c>
      <c r="AG85" s="2">
        <f>IF(AF$4=$E85, $I85*AF$55,0) + IF(AF$4&gt;$E85,MIN(AF85,$I85-SUM($J85:AF85)))</f>
        <v>4.7570768666931302</v>
      </c>
      <c r="AH85" s="2">
        <f>IF(AG$4=$E85, $I85*AG$55,0) + IF(AG$4&gt;$E85,MIN(AG85,$I85-SUM($J85:AG85)))</f>
        <v>4.7570768666931302</v>
      </c>
      <c r="AI85" s="2">
        <f>IF(AH$4=$E85, $I85*AH$55,0) + IF(AH$4&gt;$E85,MIN(AH85,$I85-SUM($J85:AH85)))</f>
        <v>4.7570768666931302</v>
      </c>
      <c r="AJ85" s="2">
        <f>IF(AI$4=$E85, $I85*AI$55,0) + IF(AI$4&gt;$E85,MIN(AI85,$I85-SUM($J85:AI85)))</f>
        <v>4.7570768666931302</v>
      </c>
      <c r="AK85" s="2">
        <f>IF(AJ$4=$E85, $I85*AJ$55,0) + IF(AJ$4&gt;$E85,MIN(AJ85,$I85-SUM($J85:AJ85)))</f>
        <v>4.7570768666931302</v>
      </c>
      <c r="AL85" s="2">
        <f>IF(AK$4=$E85, $I85*AK$55,0) + IF(AK$4&gt;$E85,MIN(AK85,$I85-SUM($J85:AK85)))</f>
        <v>4.7570768666931302</v>
      </c>
      <c r="AM85" s="2">
        <f>IF(AL$4=$E85, $I85*AL$55,0) + IF(AL$4&gt;$E85,MIN(AL85,$I85-SUM($J85:AL85)))</f>
        <v>4.7570768666931302</v>
      </c>
      <c r="AN85" s="2">
        <f>IF(AM$4=$E85, $I85*AM$55,0) + IF(AM$4&gt;$E85,MIN(AM85,$I85-SUM($J85:AM85)))</f>
        <v>4.7570768666931302</v>
      </c>
      <c r="AO85" s="2">
        <f>IF(AN$4=$E85, $I85*AN$55,0) + IF(AN$4&gt;$E85,MIN(AN85,$I85-SUM($J85:AN85)))</f>
        <v>4.7570768666931302</v>
      </c>
      <c r="AP85" s="2">
        <f>IF(AO$4=$E85, $I85*AO$55,0) + IF(AO$4&gt;$E85,MIN(AO85,$I85-SUM($J85:AO85)))</f>
        <v>4.7570768666931302</v>
      </c>
      <c r="AQ85" s="57">
        <f>IF(AP$4=$E85, $I85*AP$55,0) + IF(AP$4&gt;$E85,MIN(AP85,$I85-SUM($J85:AP85)))</f>
        <v>4.7570768666931302</v>
      </c>
      <c r="AR85" s="2">
        <f>IF(AQ$4=$E85, $I85*AQ$55,0) + IF(AQ$4&gt;$E85,MIN(AQ85,$I85-SUM($J85:AQ85)))</f>
        <v>4.7570768666931302</v>
      </c>
      <c r="AS85" s="2">
        <f>IF(AR$4=$E85, $I85*AR$55,0) + IF(AR$4&gt;$E85,MIN(AR85,$I85-SUM($J85:AR85)))</f>
        <v>4.7570768666931302</v>
      </c>
      <c r="AT85" s="2">
        <f>IF(AS$4=$E85, $I85*AS$55,0) + IF(AS$4&gt;$E85,MIN(AS85,$I85-SUM($J85:AS85)))</f>
        <v>4.7570768666931302</v>
      </c>
      <c r="AU85" s="2">
        <f>IF(AT$4=$E85, $I85*AT$55,0) + IF(AT$4&gt;$E85,MIN(AT85,$I85-SUM($J85:AT85)))</f>
        <v>4.7570768666931302</v>
      </c>
      <c r="AV85" s="2">
        <f>IF(AU$4=$E85, $I85*AU$55,0) + IF(AU$4&gt;$E85,MIN(AU85,$I85-SUM($J85:AU85)))</f>
        <v>4.7570768666931302</v>
      </c>
      <c r="AW85" s="2"/>
    </row>
    <row r="86" spans="5:49" ht="15" outlineLevel="1">
      <c r="E86" s="44">
        <f>INDEX($K$4:$AV$4,,COUNT(E$65:E85)+1)</f>
        <v>40633</v>
      </c>
      <c r="G86" s="2" t="s">
        <v>105</v>
      </c>
      <c r="I86" s="2">
        <f t="shared" si="62"/>
        <v>153.73959941493774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4.6168047872353686</v>
      </c>
      <c r="AG86" s="2">
        <f>IF(AF$4=$E86, $I86*AF$55,0) + IF(AF$4&gt;$E86,MIN(AF86,$I86-SUM($J86:AF86)))</f>
        <v>4.6168047872353686</v>
      </c>
      <c r="AH86" s="2">
        <f>IF(AG$4=$E86, $I86*AG$55,0) + IF(AG$4&gt;$E86,MIN(AG86,$I86-SUM($J86:AG86)))</f>
        <v>4.6168047872353686</v>
      </c>
      <c r="AI86" s="2">
        <f>IF(AH$4=$E86, $I86*AH$55,0) + IF(AH$4&gt;$E86,MIN(AH86,$I86-SUM($J86:AH86)))</f>
        <v>4.6168047872353686</v>
      </c>
      <c r="AJ86" s="2">
        <f>IF(AI$4=$E86, $I86*AI$55,0) + IF(AI$4&gt;$E86,MIN(AI86,$I86-SUM($J86:AI86)))</f>
        <v>4.6168047872353686</v>
      </c>
      <c r="AK86" s="2">
        <f>IF(AJ$4=$E86, $I86*AJ$55,0) + IF(AJ$4&gt;$E86,MIN(AJ86,$I86-SUM($J86:AJ86)))</f>
        <v>4.6168047872353686</v>
      </c>
      <c r="AL86" s="2">
        <f>IF(AK$4=$E86, $I86*AK$55,0) + IF(AK$4&gt;$E86,MIN(AK86,$I86-SUM($J86:AK86)))</f>
        <v>4.6168047872353686</v>
      </c>
      <c r="AM86" s="2">
        <f>IF(AL$4=$E86, $I86*AL$55,0) + IF(AL$4&gt;$E86,MIN(AL86,$I86-SUM($J86:AL86)))</f>
        <v>4.6168047872353686</v>
      </c>
      <c r="AN86" s="2">
        <f>IF(AM$4=$E86, $I86*AM$55,0) + IF(AM$4&gt;$E86,MIN(AM86,$I86-SUM($J86:AM86)))</f>
        <v>4.6168047872353686</v>
      </c>
      <c r="AO86" s="2">
        <f>IF(AN$4=$E86, $I86*AN$55,0) + IF(AN$4&gt;$E86,MIN(AN86,$I86-SUM($J86:AN86)))</f>
        <v>4.6168047872353686</v>
      </c>
      <c r="AP86" s="2">
        <f>IF(AO$4=$E86, $I86*AO$55,0) + IF(AO$4&gt;$E86,MIN(AO86,$I86-SUM($J86:AO86)))</f>
        <v>4.6168047872353686</v>
      </c>
      <c r="AQ86" s="57">
        <f>IF(AP$4=$E86, $I86*AP$55,0) + IF(AP$4&gt;$E86,MIN(AP86,$I86-SUM($J86:AP86)))</f>
        <v>4.6168047872353686</v>
      </c>
      <c r="AR86" s="2">
        <f>IF(AQ$4=$E86, $I86*AQ$55,0) + IF(AQ$4&gt;$E86,MIN(AQ86,$I86-SUM($J86:AQ86)))</f>
        <v>4.6168047872353686</v>
      </c>
      <c r="AS86" s="2">
        <f>IF(AR$4=$E86, $I86*AR$55,0) + IF(AR$4&gt;$E86,MIN(AR86,$I86-SUM($J86:AR86)))</f>
        <v>4.6168047872353686</v>
      </c>
      <c r="AT86" s="2">
        <f>IF(AS$4=$E86, $I86*AS$55,0) + IF(AS$4&gt;$E86,MIN(AS86,$I86-SUM($J86:AS86)))</f>
        <v>4.6168047872353686</v>
      </c>
      <c r="AU86" s="2">
        <f>IF(AT$4=$E86, $I86*AT$55,0) + IF(AT$4&gt;$E86,MIN(AT86,$I86-SUM($J86:AT86)))</f>
        <v>4.6168047872353686</v>
      </c>
      <c r="AV86" s="2">
        <f>IF(AU$4=$E86, $I86*AU$55,0) + IF(AU$4&gt;$E86,MIN(AU86,$I86-SUM($J86:AU86)))</f>
        <v>4.6168047872353686</v>
      </c>
      <c r="AW86" s="2"/>
    </row>
    <row r="87" spans="5:49" ht="15" outlineLevel="1">
      <c r="E87" s="44">
        <f>INDEX($K$4:$AV$4,,COUNT(E$65:E86)+1)</f>
        <v>40999</v>
      </c>
      <c r="G87" s="2" t="s">
        <v>105</v>
      </c>
      <c r="I87" s="2">
        <f t="shared" si="62"/>
        <v>189.52738762176125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5.6915131417946325</v>
      </c>
      <c r="AH87" s="2">
        <f>IF(AG$4=$E87, $I87*AG$55,0) + IF(AG$4&gt;$E87,MIN(AG87,$I87-SUM($J87:AG87)))</f>
        <v>5.6915131417946325</v>
      </c>
      <c r="AI87" s="2">
        <f>IF(AH$4=$E87, $I87*AH$55,0) + IF(AH$4&gt;$E87,MIN(AH87,$I87-SUM($J87:AH87)))</f>
        <v>5.6915131417946325</v>
      </c>
      <c r="AJ87" s="2">
        <f>IF(AI$4=$E87, $I87*AI$55,0) + IF(AI$4&gt;$E87,MIN(AI87,$I87-SUM($J87:AI87)))</f>
        <v>5.6915131417946325</v>
      </c>
      <c r="AK87" s="2">
        <f>IF(AJ$4=$E87, $I87*AJ$55,0) + IF(AJ$4&gt;$E87,MIN(AJ87,$I87-SUM($J87:AJ87)))</f>
        <v>5.6915131417946325</v>
      </c>
      <c r="AL87" s="2">
        <f>IF(AK$4=$E87, $I87*AK$55,0) + IF(AK$4&gt;$E87,MIN(AK87,$I87-SUM($J87:AK87)))</f>
        <v>5.6915131417946325</v>
      </c>
      <c r="AM87" s="2">
        <f>IF(AL$4=$E87, $I87*AL$55,0) + IF(AL$4&gt;$E87,MIN(AL87,$I87-SUM($J87:AL87)))</f>
        <v>5.6915131417946325</v>
      </c>
      <c r="AN87" s="2">
        <f>IF(AM$4=$E87, $I87*AM$55,0) + IF(AM$4&gt;$E87,MIN(AM87,$I87-SUM($J87:AM87)))</f>
        <v>5.6915131417946325</v>
      </c>
      <c r="AO87" s="2">
        <f>IF(AN$4=$E87, $I87*AN$55,0) + IF(AN$4&gt;$E87,MIN(AN87,$I87-SUM($J87:AN87)))</f>
        <v>5.6915131417946325</v>
      </c>
      <c r="AP87" s="2">
        <f>IF(AO$4=$E87, $I87*AO$55,0) + IF(AO$4&gt;$E87,MIN(AO87,$I87-SUM($J87:AO87)))</f>
        <v>5.6915131417946325</v>
      </c>
      <c r="AQ87" s="57">
        <f>IF(AP$4=$E87, $I87*AP$55,0) + IF(AP$4&gt;$E87,MIN(AP87,$I87-SUM($J87:AP87)))</f>
        <v>5.6915131417946325</v>
      </c>
      <c r="AR87" s="2">
        <f>IF(AQ$4=$E87, $I87*AQ$55,0) + IF(AQ$4&gt;$E87,MIN(AQ87,$I87-SUM($J87:AQ87)))</f>
        <v>5.6915131417946325</v>
      </c>
      <c r="AS87" s="2">
        <f>IF(AR$4=$E87, $I87*AR$55,0) + IF(AR$4&gt;$E87,MIN(AR87,$I87-SUM($J87:AR87)))</f>
        <v>5.6915131417946325</v>
      </c>
      <c r="AT87" s="2">
        <f>IF(AS$4=$E87, $I87*AS$55,0) + IF(AS$4&gt;$E87,MIN(AS87,$I87-SUM($J87:AS87)))</f>
        <v>5.6915131417946325</v>
      </c>
      <c r="AU87" s="2">
        <f>IF(AT$4=$E87, $I87*AT$55,0) + IF(AT$4&gt;$E87,MIN(AT87,$I87-SUM($J87:AT87)))</f>
        <v>5.6915131417946325</v>
      </c>
      <c r="AV87" s="2">
        <f>IF(AU$4=$E87, $I87*AU$55,0) + IF(AU$4&gt;$E87,MIN(AU87,$I87-SUM($J87:AU87)))</f>
        <v>5.6915131417946325</v>
      </c>
      <c r="AW87" s="2"/>
    </row>
    <row r="88" spans="5:49" ht="15" outlineLevel="1">
      <c r="E88" s="44">
        <f>INDEX($K$4:$AV$4,,COUNT(E$65:E87)+1)</f>
        <v>41364</v>
      </c>
      <c r="G88" s="2" t="s">
        <v>105</v>
      </c>
      <c r="I88" s="2">
        <f t="shared" si="62"/>
        <v>198.81414272608728</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5.9703946764590778</v>
      </c>
      <c r="AI88" s="2">
        <f>IF(AH$4=$E88, $I88*AH$55,0) + IF(AH$4&gt;$E88,MIN(AH88,$I88-SUM($J88:AH88)))</f>
        <v>5.9703946764590778</v>
      </c>
      <c r="AJ88" s="2">
        <f>IF(AI$4=$E88, $I88*AI$55,0) + IF(AI$4&gt;$E88,MIN(AI88,$I88-SUM($J88:AI88)))</f>
        <v>5.9703946764590778</v>
      </c>
      <c r="AK88" s="2">
        <f>IF(AJ$4=$E88, $I88*AJ$55,0) + IF(AJ$4&gt;$E88,MIN(AJ88,$I88-SUM($J88:AJ88)))</f>
        <v>5.9703946764590778</v>
      </c>
      <c r="AL88" s="2">
        <f>IF(AK$4=$E88, $I88*AK$55,0) + IF(AK$4&gt;$E88,MIN(AK88,$I88-SUM($J88:AK88)))</f>
        <v>5.9703946764590778</v>
      </c>
      <c r="AM88" s="2">
        <f>IF(AL$4=$E88, $I88*AL$55,0) + IF(AL$4&gt;$E88,MIN(AL88,$I88-SUM($J88:AL88)))</f>
        <v>5.9703946764590778</v>
      </c>
      <c r="AN88" s="2">
        <f>IF(AM$4=$E88, $I88*AM$55,0) + IF(AM$4&gt;$E88,MIN(AM88,$I88-SUM($J88:AM88)))</f>
        <v>5.9703946764590778</v>
      </c>
      <c r="AO88" s="2">
        <f>IF(AN$4=$E88, $I88*AN$55,0) + IF(AN$4&gt;$E88,MIN(AN88,$I88-SUM($J88:AN88)))</f>
        <v>5.9703946764590778</v>
      </c>
      <c r="AP88" s="2">
        <f>IF(AO$4=$E88, $I88*AO$55,0) + IF(AO$4&gt;$E88,MIN(AO88,$I88-SUM($J88:AO88)))</f>
        <v>5.9703946764590778</v>
      </c>
      <c r="AQ88" s="57">
        <f>IF(AP$4=$E88, $I88*AP$55,0) + IF(AP$4&gt;$E88,MIN(AP88,$I88-SUM($J88:AP88)))</f>
        <v>5.9703946764590778</v>
      </c>
      <c r="AR88" s="2">
        <f>IF(AQ$4=$E88, $I88*AQ$55,0) + IF(AQ$4&gt;$E88,MIN(AQ88,$I88-SUM($J88:AQ88)))</f>
        <v>5.9703946764590778</v>
      </c>
      <c r="AS88" s="2">
        <f>IF(AR$4=$E88, $I88*AR$55,0) + IF(AR$4&gt;$E88,MIN(AR88,$I88-SUM($J88:AR88)))</f>
        <v>5.9703946764590778</v>
      </c>
      <c r="AT88" s="2">
        <f>IF(AS$4=$E88, $I88*AS$55,0) + IF(AS$4&gt;$E88,MIN(AS88,$I88-SUM($J88:AS88)))</f>
        <v>5.9703946764590778</v>
      </c>
      <c r="AU88" s="2">
        <f>IF(AT$4=$E88, $I88*AT$55,0) + IF(AT$4&gt;$E88,MIN(AT88,$I88-SUM($J88:AT88)))</f>
        <v>5.9703946764590778</v>
      </c>
      <c r="AV88" s="2">
        <f>IF(AU$4=$E88, $I88*AU$55,0) + IF(AU$4&gt;$E88,MIN(AU88,$I88-SUM($J88:AU88)))</f>
        <v>5.9703946764590778</v>
      </c>
      <c r="AW88" s="2"/>
    </row>
    <row r="89" spans="5:49" ht="15" outlineLevel="1">
      <c r="E89" s="44">
        <f>INDEX($K$4:$AV$4,,COUNT(E$65:E88)+1)</f>
        <v>41729</v>
      </c>
      <c r="G89" s="2" t="s">
        <v>105</v>
      </c>
      <c r="I89" s="2">
        <f t="shared" si="62"/>
        <v>203.50779726060745</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6.1113452630813052</v>
      </c>
      <c r="AJ89" s="2">
        <f>IF(AI$4=$E89, $I89*AI$55,0) + IF(AI$4&gt;$E89,MIN(AI89,$I89-SUM($J89:AI89)))</f>
        <v>6.1113452630813052</v>
      </c>
      <c r="AK89" s="2">
        <f>IF(AJ$4=$E89, $I89*AJ$55,0) + IF(AJ$4&gt;$E89,MIN(AJ89,$I89-SUM($J89:AJ89)))</f>
        <v>6.1113452630813052</v>
      </c>
      <c r="AL89" s="2">
        <f>IF(AK$4=$E89, $I89*AK$55,0) + IF(AK$4&gt;$E89,MIN(AK89,$I89-SUM($J89:AK89)))</f>
        <v>6.1113452630813052</v>
      </c>
      <c r="AM89" s="2">
        <f>IF(AL$4=$E89, $I89*AL$55,0) + IF(AL$4&gt;$E89,MIN(AL89,$I89-SUM($J89:AL89)))</f>
        <v>6.1113452630813052</v>
      </c>
      <c r="AN89" s="2">
        <f>IF(AM$4=$E89, $I89*AM$55,0) + IF(AM$4&gt;$E89,MIN(AM89,$I89-SUM($J89:AM89)))</f>
        <v>6.1113452630813052</v>
      </c>
      <c r="AO89" s="2">
        <f>IF(AN$4=$E89, $I89*AN$55,0) + IF(AN$4&gt;$E89,MIN(AN89,$I89-SUM($J89:AN89)))</f>
        <v>6.1113452630813052</v>
      </c>
      <c r="AP89" s="2">
        <f>IF(AO$4=$E89, $I89*AO$55,0) + IF(AO$4&gt;$E89,MIN(AO89,$I89-SUM($J89:AO89)))</f>
        <v>6.1113452630813052</v>
      </c>
      <c r="AQ89" s="57">
        <f>IF(AP$4=$E89, $I89*AP$55,0) + IF(AP$4&gt;$E89,MIN(AP89,$I89-SUM($J89:AP89)))</f>
        <v>6.1113452630813052</v>
      </c>
      <c r="AR89" s="2">
        <f>IF(AQ$4=$E89, $I89*AQ$55,0) + IF(AQ$4&gt;$E89,MIN(AQ89,$I89-SUM($J89:AQ89)))</f>
        <v>6.1113452630813052</v>
      </c>
      <c r="AS89" s="2">
        <f>IF(AR$4=$E89, $I89*AR$55,0) + IF(AR$4&gt;$E89,MIN(AR89,$I89-SUM($J89:AR89)))</f>
        <v>6.1113452630813052</v>
      </c>
      <c r="AT89" s="2">
        <f>IF(AS$4=$E89, $I89*AS$55,0) + IF(AS$4&gt;$E89,MIN(AS89,$I89-SUM($J89:AS89)))</f>
        <v>6.1113452630813052</v>
      </c>
      <c r="AU89" s="2">
        <f>IF(AT$4=$E89, $I89*AT$55,0) + IF(AT$4&gt;$E89,MIN(AT89,$I89-SUM($J89:AT89)))</f>
        <v>6.1113452630813052</v>
      </c>
      <c r="AV89" s="2">
        <f>IF(AU$4=$E89, $I89*AU$55,0) + IF(AU$4&gt;$E89,MIN(AU89,$I89-SUM($J89:AU89)))</f>
        <v>6.1113452630813052</v>
      </c>
      <c r="AW89" s="2"/>
    </row>
    <row r="90" spans="5:49" ht="15" outlineLevel="1">
      <c r="E90" s="44">
        <f>INDEX($K$4:$AV$4,,COUNT(E$65:E89)+1)</f>
        <v>42094</v>
      </c>
      <c r="G90" s="2" t="s">
        <v>105</v>
      </c>
      <c r="I90" s="2">
        <f t="shared" si="62"/>
        <v>221.25861676212187</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6.644402905769426</v>
      </c>
      <c r="AK90" s="2">
        <f>IF(AJ$4=$E90, $I90*AJ$55,0) + IF(AJ$4&gt;$E90,MIN(AJ90,$I90-SUM($J90:AJ90)))</f>
        <v>6.644402905769426</v>
      </c>
      <c r="AL90" s="2">
        <f>IF(AK$4=$E90, $I90*AK$55,0) + IF(AK$4&gt;$E90,MIN(AK90,$I90-SUM($J90:AK90)))</f>
        <v>6.644402905769426</v>
      </c>
      <c r="AM90" s="2">
        <f>IF(AL$4=$E90, $I90*AL$55,0) + IF(AL$4&gt;$E90,MIN(AL90,$I90-SUM($J90:AL90)))</f>
        <v>6.644402905769426</v>
      </c>
      <c r="AN90" s="2">
        <f>IF(AM$4=$E90, $I90*AM$55,0) + IF(AM$4&gt;$E90,MIN(AM90,$I90-SUM($J90:AM90)))</f>
        <v>6.644402905769426</v>
      </c>
      <c r="AO90" s="2">
        <f>IF(AN$4=$E90, $I90*AN$55,0) + IF(AN$4&gt;$E90,MIN(AN90,$I90-SUM($J90:AN90)))</f>
        <v>6.644402905769426</v>
      </c>
      <c r="AP90" s="2">
        <f>IF(AO$4=$E90, $I90*AO$55,0) + IF(AO$4&gt;$E90,MIN(AO90,$I90-SUM($J90:AO90)))</f>
        <v>6.644402905769426</v>
      </c>
      <c r="AQ90" s="57">
        <f>IF(AP$4=$E90, $I90*AP$55,0) + IF(AP$4&gt;$E90,MIN(AP90,$I90-SUM($J90:AP90)))</f>
        <v>6.644402905769426</v>
      </c>
      <c r="AR90" s="2">
        <f>IF(AQ$4=$E90, $I90*AQ$55,0) + IF(AQ$4&gt;$E90,MIN(AQ90,$I90-SUM($J90:AQ90)))</f>
        <v>6.644402905769426</v>
      </c>
      <c r="AS90" s="2">
        <f>IF(AR$4=$E90, $I90*AR$55,0) + IF(AR$4&gt;$E90,MIN(AR90,$I90-SUM($J90:AR90)))</f>
        <v>6.644402905769426</v>
      </c>
      <c r="AT90" s="2">
        <f>IF(AS$4=$E90, $I90*AS$55,0) + IF(AS$4&gt;$E90,MIN(AS90,$I90-SUM($J90:AS90)))</f>
        <v>6.644402905769426</v>
      </c>
      <c r="AU90" s="2">
        <f>IF(AT$4=$E90, $I90*AT$55,0) + IF(AT$4&gt;$E90,MIN(AT90,$I90-SUM($J90:AT90)))</f>
        <v>6.644402905769426</v>
      </c>
      <c r="AV90" s="2">
        <f>IF(AU$4=$E90, $I90*AU$55,0) + IF(AU$4&gt;$E90,MIN(AU90,$I90-SUM($J90:AU90)))</f>
        <v>6.644402905769426</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898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899</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1</v>
      </c>
      <c r="X108" s="2">
        <f t="shared" si="63"/>
        <v>1</v>
      </c>
      <c r="Y108" s="2">
        <f t="shared" si="63"/>
        <v>1</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105</v>
      </c>
      <c r="I110" s="2">
        <f>INDEX($K$24:$AV$24,,MATCH(E110,$K$4:$AV$4,0))</f>
        <v>28.526000944534815</v>
      </c>
      <c r="K110" s="2">
        <f>IF(J$4=$E110, $I110*J$57,0) + IF(J$4&gt;$E110,MIN(J110,$I110-SUM($J110:J110)))</f>
        <v>0</v>
      </c>
      <c r="L110" s="2">
        <f>IF(K$4=$E110, $I110*K$57,0) + IF(K$4&gt;$E110,MIN(K110,$I110-SUM($J110:K110)))</f>
        <v>1.4263000472267409</v>
      </c>
      <c r="M110" s="2">
        <f>IF(L$4=$E110, $I110*L$57,0) + IF(L$4&gt;$E110,MIN(L110,$I110-SUM($J110:L110)))</f>
        <v>1.4263000472267409</v>
      </c>
      <c r="N110" s="2">
        <f>IF(M$4=$E110, $I110*M$57,0) + IF(M$4&gt;$E110,MIN(M110,$I110-SUM($J110:M110)))</f>
        <v>1.4263000472267409</v>
      </c>
      <c r="O110" s="2">
        <f>IF(N$4=$E110, $I110*N$57,0) + IF(N$4&gt;$E110,MIN(N110,$I110-SUM($J110:N110)))</f>
        <v>1.4263000472267409</v>
      </c>
      <c r="P110" s="2">
        <f>IF(O$4=$E110, $I110*O$57,0) + IF(O$4&gt;$E110,MIN(O110,$I110-SUM($J110:O110)))</f>
        <v>1.4263000472267409</v>
      </c>
      <c r="Q110" s="2">
        <f>IF(P$4=$E110, $I110*P$57,0) + IF(P$4&gt;$E110,MIN(P110,$I110-SUM($J110:P110)))</f>
        <v>1.4263000472267409</v>
      </c>
      <c r="R110" s="2">
        <f>IF(Q$4=$E110, $I110*Q$57,0) + IF(Q$4&gt;$E110,MIN(Q110,$I110-SUM($J110:Q110)))</f>
        <v>1.4263000472267409</v>
      </c>
      <c r="S110" s="2">
        <f>IF(R$4=$E110, $I110*R$57,0) + IF(R$4&gt;$E110,MIN(R110,$I110-SUM($J110:R110)))</f>
        <v>1.4263000472267409</v>
      </c>
      <c r="T110" s="2">
        <f>IF(S$4=$E110, $I110*S$57,0) + IF(S$4&gt;$E110,MIN(S110,$I110-SUM($J110:S110)))</f>
        <v>1.4263000472267409</v>
      </c>
      <c r="U110" s="2">
        <f>IF(T$4=$E110, $I110*T$57,0) + IF(T$4&gt;$E110,MIN(T110,$I110-SUM($J110:T110)))</f>
        <v>1.4263000472267409</v>
      </c>
      <c r="V110" s="2">
        <f>IF(U$4=$E110, $I110*U$57,0) + IF(U$4&gt;$E110,MIN(U110,$I110-SUM($J110:U110)))</f>
        <v>1.4263000472267409</v>
      </c>
      <c r="W110" s="2">
        <f>IF(V$4=$E110, $I110*V$57,0) + IF(V$4&gt;$E110,MIN(V110,$I110-SUM($J110:V110)))</f>
        <v>1.4263000472267409</v>
      </c>
      <c r="X110" s="2">
        <f>IF(W$4=$E110, $I110*W$57,0) + IF(W$4&gt;$E110,MIN(W110,$I110-SUM($J110:W110)))</f>
        <v>1.4263000472267409</v>
      </c>
      <c r="Y110" s="2">
        <f>IF(X$4=$E110, $I110*X$57,0) + IF(X$4&gt;$E110,MIN(X110,$I110-SUM($J110:X110)))</f>
        <v>1.4263000472267409</v>
      </c>
      <c r="Z110" s="2">
        <f>IF(Y$4=$E110, $I110*Y$57,0) + IF(Y$4&gt;$E110,MIN(Y110,$I110-SUM($J110:Y110)))</f>
        <v>1.4263000472267409</v>
      </c>
      <c r="AA110" s="2">
        <f>IF(Z$4=$E110, $I110*Z$57,0) + IF(Z$4&gt;$E110,MIN(Z110,$I110-SUM($J110:Z110)))</f>
        <v>1.4263000472267409</v>
      </c>
      <c r="AB110" s="2">
        <f>IF(AA$4=$E110, $I110*AA$57,0) + IF(AA$4&gt;$E110,MIN(AA110,$I110-SUM($J110:AA110)))</f>
        <v>1.4263000472267409</v>
      </c>
      <c r="AC110" s="2">
        <f>IF(AB$4=$E110, $I110*AB$57,0) + IF(AB$4&gt;$E110,MIN(AB110,$I110-SUM($J110:AB110)))</f>
        <v>1.4263000472267409</v>
      </c>
      <c r="AD110" s="2">
        <f>IF(AC$4=$E110, $I110*AC$57,0) + IF(AC$4&gt;$E110,MIN(AC110,$I110-SUM($J110:AC110)))</f>
        <v>1.4263000472267409</v>
      </c>
      <c r="AE110" s="2">
        <f>IF(AD$4=$E110, $I110*AD$57,0) + IF(AD$4&gt;$E110,MIN(AD110,$I110-SUM($J110:AD110)))</f>
        <v>1.4263000472267409</v>
      </c>
      <c r="AF110" s="2">
        <f>IF(AE$4=$E110, $I110*AE$57,0) + IF(AE$4&gt;$E110,MIN(AE110,$I110-SUM($J110:AE110)))</f>
        <v>1.0658141036401503E-14</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69.833132182400178</v>
      </c>
      <c r="K111" s="2">
        <f>IF(J$4=$E111, $I111*J$57,0) + IF(J$4&gt;$E111,MIN(J111,$I111-SUM($J111:J111)))</f>
        <v>0</v>
      </c>
      <c r="L111" s="2">
        <f>IF(K$4=$E111, $I111*K$57,0) + IF(K$4&gt;$E111,MIN(K111,$I111-SUM($J111:K111)))</f>
        <v>0</v>
      </c>
      <c r="M111" s="2">
        <f>IF(L$4=$E111, $I111*L$57,0) + IF(L$4&gt;$E111,MIN(L111,$I111-SUM($J111:L111)))</f>
        <v>3.491656609120009</v>
      </c>
      <c r="N111" s="2">
        <f>IF(M$4=$E111, $I111*M$57,0) + IF(M$4&gt;$E111,MIN(M111,$I111-SUM($J111:M111)))</f>
        <v>3.491656609120009</v>
      </c>
      <c r="O111" s="2">
        <f>IF(N$4=$E111, $I111*N$57,0) + IF(N$4&gt;$E111,MIN(N111,$I111-SUM($J111:N111)))</f>
        <v>3.491656609120009</v>
      </c>
      <c r="P111" s="2">
        <f>IF(O$4=$E111, $I111*O$57,0) + IF(O$4&gt;$E111,MIN(O111,$I111-SUM($J111:O111)))</f>
        <v>3.491656609120009</v>
      </c>
      <c r="Q111" s="2">
        <f>IF(P$4=$E111, $I111*P$57,0) + IF(P$4&gt;$E111,MIN(P111,$I111-SUM($J111:P111)))</f>
        <v>3.491656609120009</v>
      </c>
      <c r="R111" s="2">
        <f>IF(Q$4=$E111, $I111*Q$57,0) + IF(Q$4&gt;$E111,MIN(Q111,$I111-SUM($J111:Q111)))</f>
        <v>3.491656609120009</v>
      </c>
      <c r="S111" s="2">
        <f>IF(R$4=$E111, $I111*R$57,0) + IF(R$4&gt;$E111,MIN(R111,$I111-SUM($J111:R111)))</f>
        <v>3.491656609120009</v>
      </c>
      <c r="T111" s="2">
        <f>IF(S$4=$E111, $I111*S$57,0) + IF(S$4&gt;$E111,MIN(S111,$I111-SUM($J111:S111)))</f>
        <v>3.491656609120009</v>
      </c>
      <c r="U111" s="2">
        <f>IF(T$4=$E111, $I111*T$57,0) + IF(T$4&gt;$E111,MIN(T111,$I111-SUM($J111:T111)))</f>
        <v>3.491656609120009</v>
      </c>
      <c r="V111" s="2">
        <f>IF(U$4=$E111, $I111*U$57,0) + IF(U$4&gt;$E111,MIN(U111,$I111-SUM($J111:U111)))</f>
        <v>3.491656609120009</v>
      </c>
      <c r="W111" s="2">
        <f>IF(V$4=$E111, $I111*V$57,0) + IF(V$4&gt;$E111,MIN(V111,$I111-SUM($J111:V111)))</f>
        <v>3.491656609120009</v>
      </c>
      <c r="X111" s="2">
        <f>IF(W$4=$E111, $I111*W$57,0) + IF(W$4&gt;$E111,MIN(W111,$I111-SUM($J111:W111)))</f>
        <v>3.491656609120009</v>
      </c>
      <c r="Y111" s="2">
        <f>IF(X$4=$E111, $I111*X$57,0) + IF(X$4&gt;$E111,MIN(X111,$I111-SUM($J111:X111)))</f>
        <v>3.491656609120009</v>
      </c>
      <c r="Z111" s="2">
        <f>IF(Y$4=$E111, $I111*Y$57,0) + IF(Y$4&gt;$E111,MIN(Y111,$I111-SUM($J111:Y111)))</f>
        <v>3.491656609120009</v>
      </c>
      <c r="AA111" s="2">
        <f>IF(Z$4=$E111, $I111*Z$57,0) + IF(Z$4&gt;$E111,MIN(Z111,$I111-SUM($J111:Z111)))</f>
        <v>3.491656609120009</v>
      </c>
      <c r="AB111" s="2">
        <f>IF(AA$4=$E111, $I111*AA$57,0) + IF(AA$4&gt;$E111,MIN(AA111,$I111-SUM($J111:AA111)))</f>
        <v>3.491656609120009</v>
      </c>
      <c r="AC111" s="2">
        <f>IF(AB$4=$E111, $I111*AB$57,0) + IF(AB$4&gt;$E111,MIN(AB111,$I111-SUM($J111:AB111)))</f>
        <v>3.491656609120009</v>
      </c>
      <c r="AD111" s="2">
        <f>IF(AC$4=$E111, $I111*AC$57,0) + IF(AC$4&gt;$E111,MIN(AC111,$I111-SUM($J111:AC111)))</f>
        <v>3.491656609120009</v>
      </c>
      <c r="AE111" s="2">
        <f>IF(AD$4=$E111, $I111*AD$57,0) + IF(AD$4&gt;$E111,MIN(AD111,$I111-SUM($J111:AD111)))</f>
        <v>3.491656609120009</v>
      </c>
      <c r="AF111" s="2">
        <f>IF(AE$4=$E111, $I111*AE$57,0) + IF(AE$4&gt;$E111,MIN(AE111,$I111-SUM($J111:AE111)))</f>
        <v>3.491656609120009</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144.48234244634517</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7.2241171223172591</v>
      </c>
      <c r="O112" s="2">
        <f>IF(N$4=$E112, $I112*N$57,0) + IF(N$4&gt;$E112,MIN(N112,$I112-SUM($J112:N112)))</f>
        <v>7.2241171223172591</v>
      </c>
      <c r="P112" s="2">
        <f>IF(O$4=$E112, $I112*O$57,0) + IF(O$4&gt;$E112,MIN(O112,$I112-SUM($J112:O112)))</f>
        <v>7.2241171223172591</v>
      </c>
      <c r="Q112" s="2">
        <f>IF(P$4=$E112, $I112*P$57,0) + IF(P$4&gt;$E112,MIN(P112,$I112-SUM($J112:P112)))</f>
        <v>7.2241171223172591</v>
      </c>
      <c r="R112" s="2">
        <f>IF(Q$4=$E112, $I112*Q$57,0) + IF(Q$4&gt;$E112,MIN(Q112,$I112-SUM($J112:Q112)))</f>
        <v>7.2241171223172591</v>
      </c>
      <c r="S112" s="2">
        <f>IF(R$4=$E112, $I112*R$57,0) + IF(R$4&gt;$E112,MIN(R112,$I112-SUM($J112:R112)))</f>
        <v>7.2241171223172591</v>
      </c>
      <c r="T112" s="2">
        <f>IF(S$4=$E112, $I112*S$57,0) + IF(S$4&gt;$E112,MIN(S112,$I112-SUM($J112:S112)))</f>
        <v>7.2241171223172591</v>
      </c>
      <c r="U112" s="2">
        <f>IF(T$4=$E112, $I112*T$57,0) + IF(T$4&gt;$E112,MIN(T112,$I112-SUM($J112:T112)))</f>
        <v>7.2241171223172591</v>
      </c>
      <c r="V112" s="2">
        <f>IF(U$4=$E112, $I112*U$57,0) + IF(U$4&gt;$E112,MIN(U112,$I112-SUM($J112:U112)))</f>
        <v>7.2241171223172591</v>
      </c>
      <c r="W112" s="2">
        <f>IF(V$4=$E112, $I112*V$57,0) + IF(V$4&gt;$E112,MIN(V112,$I112-SUM($J112:V112)))</f>
        <v>7.2241171223172591</v>
      </c>
      <c r="X112" s="2">
        <f>IF(W$4=$E112, $I112*W$57,0) + IF(W$4&gt;$E112,MIN(W112,$I112-SUM($J112:W112)))</f>
        <v>7.2241171223172591</v>
      </c>
      <c r="Y112" s="2">
        <f>IF(X$4=$E112, $I112*X$57,0) + IF(X$4&gt;$E112,MIN(X112,$I112-SUM($J112:X112)))</f>
        <v>7.2241171223172591</v>
      </c>
      <c r="Z112" s="2">
        <f>IF(Y$4=$E112, $I112*Y$57,0) + IF(Y$4&gt;$E112,MIN(Y112,$I112-SUM($J112:Y112)))</f>
        <v>7.2241171223172591</v>
      </c>
      <c r="AA112" s="2">
        <f>IF(Z$4=$E112, $I112*Z$57,0) + IF(Z$4&gt;$E112,MIN(Z112,$I112-SUM($J112:Z112)))</f>
        <v>7.2241171223172591</v>
      </c>
      <c r="AB112" s="2">
        <f>IF(AA$4=$E112, $I112*AA$57,0) + IF(AA$4&gt;$E112,MIN(AA112,$I112-SUM($J112:AA112)))</f>
        <v>7.2241171223172591</v>
      </c>
      <c r="AC112" s="2">
        <f>IF(AB$4=$E112, $I112*AB$57,0) + IF(AB$4&gt;$E112,MIN(AB112,$I112-SUM($J112:AB112)))</f>
        <v>7.2241171223172591</v>
      </c>
      <c r="AD112" s="2">
        <f>IF(AC$4=$E112, $I112*AC$57,0) + IF(AC$4&gt;$E112,MIN(AC112,$I112-SUM($J112:AC112)))</f>
        <v>7.2241171223172591</v>
      </c>
      <c r="AE112" s="2">
        <f>IF(AD$4=$E112, $I112*AD$57,0) + IF(AD$4&gt;$E112,MIN(AD112,$I112-SUM($J112:AD112)))</f>
        <v>7.2241171223172591</v>
      </c>
      <c r="AF112" s="2">
        <f>IF(AE$4=$E112, $I112*AE$57,0) + IF(AE$4&gt;$E112,MIN(AE112,$I112-SUM($J112:AE112)))</f>
        <v>7.2241171223172591</v>
      </c>
      <c r="AG112" s="2">
        <f>IF(AF$4=$E112, $I112*AF$57,0) + IF(AF$4&gt;$E112,MIN(AF112,$I112-SUM($J112:AF112)))</f>
        <v>7.2241171223172591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130.21934197407776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6.5109670987038886</v>
      </c>
      <c r="P113" s="2">
        <f>IF(O$4=$E113, $I113*O$57,0) + IF(O$4&gt;$E113,MIN(O113,$I113-SUM($J113:O113)))</f>
        <v>6.5109670987038886</v>
      </c>
      <c r="Q113" s="2">
        <f>IF(P$4=$E113, $I113*P$57,0) + IF(P$4&gt;$E113,MIN(P113,$I113-SUM($J113:P113)))</f>
        <v>6.5109670987038886</v>
      </c>
      <c r="R113" s="2">
        <f>IF(Q$4=$E113, $I113*Q$57,0) + IF(Q$4&gt;$E113,MIN(Q113,$I113-SUM($J113:Q113)))</f>
        <v>6.5109670987038886</v>
      </c>
      <c r="S113" s="2">
        <f>IF(R$4=$E113, $I113*R$57,0) + IF(R$4&gt;$E113,MIN(R113,$I113-SUM($J113:R113)))</f>
        <v>6.5109670987038886</v>
      </c>
      <c r="T113" s="2">
        <f>IF(S$4=$E113, $I113*S$57,0) + IF(S$4&gt;$E113,MIN(S113,$I113-SUM($J113:S113)))</f>
        <v>6.5109670987038886</v>
      </c>
      <c r="U113" s="2">
        <f>IF(T$4=$E113, $I113*T$57,0) + IF(T$4&gt;$E113,MIN(T113,$I113-SUM($J113:T113)))</f>
        <v>6.5109670987038886</v>
      </c>
      <c r="V113" s="2">
        <f>IF(U$4=$E113, $I113*U$57,0) + IF(U$4&gt;$E113,MIN(U113,$I113-SUM($J113:U113)))</f>
        <v>6.5109670987038886</v>
      </c>
      <c r="W113" s="2">
        <f>IF(V$4=$E113, $I113*V$57,0) + IF(V$4&gt;$E113,MIN(V113,$I113-SUM($J113:V113)))</f>
        <v>6.5109670987038886</v>
      </c>
      <c r="X113" s="2">
        <f>IF(W$4=$E113, $I113*W$57,0) + IF(W$4&gt;$E113,MIN(W113,$I113-SUM($J113:W113)))</f>
        <v>6.5109670987038886</v>
      </c>
      <c r="Y113" s="2">
        <f>IF(X$4=$E113, $I113*X$57,0) + IF(X$4&gt;$E113,MIN(X113,$I113-SUM($J113:X113)))</f>
        <v>6.5109670987038886</v>
      </c>
      <c r="Z113" s="2">
        <f>IF(Y$4=$E113, $I113*Y$57,0) + IF(Y$4&gt;$E113,MIN(Y113,$I113-SUM($J113:Y113)))</f>
        <v>6.5109670987038886</v>
      </c>
      <c r="AA113" s="2">
        <f>IF(Z$4=$E113, $I113*Z$57,0) + IF(Z$4&gt;$E113,MIN(Z113,$I113-SUM($J113:Z113)))</f>
        <v>6.5109670987038886</v>
      </c>
      <c r="AB113" s="2">
        <f>IF(AA$4=$E113, $I113*AA$57,0) + IF(AA$4&gt;$E113,MIN(AA113,$I113-SUM($J113:AA113)))</f>
        <v>6.5109670987038886</v>
      </c>
      <c r="AC113" s="2">
        <f>IF(AB$4=$E113, $I113*AB$57,0) + IF(AB$4&gt;$E113,MIN(AB113,$I113-SUM($J113:AB113)))</f>
        <v>6.5109670987038886</v>
      </c>
      <c r="AD113" s="2">
        <f>IF(AC$4=$E113, $I113*AC$57,0) + IF(AC$4&gt;$E113,MIN(AC113,$I113-SUM($J113:AC113)))</f>
        <v>6.5109670987038886</v>
      </c>
      <c r="AE113" s="2">
        <f>IF(AD$4=$E113, $I113*AD$57,0) + IF(AD$4&gt;$E113,MIN(AD113,$I113-SUM($J113:AD113)))</f>
        <v>6.5109670987038886</v>
      </c>
      <c r="AF113" s="2">
        <f>IF(AE$4=$E113, $I113*AE$57,0) + IF(AE$4&gt;$E113,MIN(AE113,$I113-SUM($J113:AE113)))</f>
        <v>6.5109670987038886</v>
      </c>
      <c r="AG113" s="2">
        <f>IF(AF$4=$E113, $I113*AF$57,0) + IF(AF$4&gt;$E113,MIN(AF113,$I113-SUM($J113:AF113)))</f>
        <v>6.5109670987038886</v>
      </c>
      <c r="AH113" s="2">
        <f>IF(AG$4=$E113, $I113*AG$57,0) + IF(AG$4&gt;$E113,MIN(AG113,$I113-SUM($J113:AG113)))</f>
        <v>6.5109670987038886</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129.10793933987514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6.4553969669937574</v>
      </c>
      <c r="Q114" s="2">
        <f>IF(P$4=$E114, $I114*P$57,0) + IF(P$4&gt;$E114,MIN(P114,$I114-SUM($J114:P114)))</f>
        <v>6.4553969669937574</v>
      </c>
      <c r="R114" s="2">
        <f>IF(Q$4=$E114, $I114*Q$57,0) + IF(Q$4&gt;$E114,MIN(Q114,$I114-SUM($J114:Q114)))</f>
        <v>6.4553969669937574</v>
      </c>
      <c r="S114" s="2">
        <f>IF(R$4=$E114, $I114*R$57,0) + IF(R$4&gt;$E114,MIN(R114,$I114-SUM($J114:R114)))</f>
        <v>6.4553969669937574</v>
      </c>
      <c r="T114" s="2">
        <f>IF(S$4=$E114, $I114*S$57,0) + IF(S$4&gt;$E114,MIN(S114,$I114-SUM($J114:S114)))</f>
        <v>6.4553969669937574</v>
      </c>
      <c r="U114" s="2">
        <f>IF(T$4=$E114, $I114*T$57,0) + IF(T$4&gt;$E114,MIN(T114,$I114-SUM($J114:T114)))</f>
        <v>6.4553969669937574</v>
      </c>
      <c r="V114" s="2">
        <f>IF(U$4=$E114, $I114*U$57,0) + IF(U$4&gt;$E114,MIN(U114,$I114-SUM($J114:U114)))</f>
        <v>6.4553969669937574</v>
      </c>
      <c r="W114" s="2">
        <f>IF(V$4=$E114, $I114*V$57,0) + IF(V$4&gt;$E114,MIN(V114,$I114-SUM($J114:V114)))</f>
        <v>6.4553969669937574</v>
      </c>
      <c r="X114" s="2">
        <f>IF(W$4=$E114, $I114*W$57,0) + IF(W$4&gt;$E114,MIN(W114,$I114-SUM($J114:W114)))</f>
        <v>6.4553969669937574</v>
      </c>
      <c r="Y114" s="2">
        <f>IF(X$4=$E114, $I114*X$57,0) + IF(X$4&gt;$E114,MIN(X114,$I114-SUM($J114:X114)))</f>
        <v>6.4553969669937574</v>
      </c>
      <c r="Z114" s="2">
        <f>IF(Y$4=$E114, $I114*Y$57,0) + IF(Y$4&gt;$E114,MIN(Y114,$I114-SUM($J114:Y114)))</f>
        <v>6.4553969669937574</v>
      </c>
      <c r="AA114" s="2">
        <f>IF(Z$4=$E114, $I114*Z$57,0) + IF(Z$4&gt;$E114,MIN(Z114,$I114-SUM($J114:Z114)))</f>
        <v>6.4553969669937574</v>
      </c>
      <c r="AB114" s="2">
        <f>IF(AA$4=$E114, $I114*AA$57,0) + IF(AA$4&gt;$E114,MIN(AA114,$I114-SUM($J114:AA114)))</f>
        <v>6.4553969669937574</v>
      </c>
      <c r="AC114" s="2">
        <f>IF(AB$4=$E114, $I114*AB$57,0) + IF(AB$4&gt;$E114,MIN(AB114,$I114-SUM($J114:AB114)))</f>
        <v>6.4553969669937574</v>
      </c>
      <c r="AD114" s="2">
        <f>IF(AC$4=$E114, $I114*AC$57,0) + IF(AC$4&gt;$E114,MIN(AC114,$I114-SUM($J114:AC114)))</f>
        <v>6.4553969669937574</v>
      </c>
      <c r="AE114" s="2">
        <f>IF(AD$4=$E114, $I114*AD$57,0) + IF(AD$4&gt;$E114,MIN(AD114,$I114-SUM($J114:AD114)))</f>
        <v>6.4553969669937574</v>
      </c>
      <c r="AF114" s="2">
        <f>IF(AE$4=$E114, $I114*AE$57,0) + IF(AE$4&gt;$E114,MIN(AE114,$I114-SUM($J114:AE114)))</f>
        <v>6.4553969669937574</v>
      </c>
      <c r="AG114" s="2">
        <f>IF(AF$4=$E114, $I114*AF$57,0) + IF(AF$4&gt;$E114,MIN(AF114,$I114-SUM($J114:AF114)))</f>
        <v>6.4553969669937574</v>
      </c>
      <c r="AH114" s="2">
        <f>IF(AG$4=$E114, $I114*AG$57,0) + IF(AG$4&gt;$E114,MIN(AG114,$I114-SUM($J114:AG114)))</f>
        <v>6.4553969669937574</v>
      </c>
      <c r="AI114" s="2">
        <f>IF(AH$4=$E114, $I114*AH$57,0) + IF(AH$4&gt;$E114,MIN(AH114,$I114-SUM($J114:AH114)))</f>
        <v>6.4553969669937175</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132.25691347011596</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6.6128456735057988</v>
      </c>
      <c r="R115" s="2">
        <f>IF(Q$4=$E115, $I115*Q$57,0) + IF(Q$4&gt;$E115,MIN(Q115,$I115-SUM($J115:Q115)))</f>
        <v>6.6128456735057988</v>
      </c>
      <c r="S115" s="2">
        <f>IF(R$4=$E115, $I115*R$57,0) + IF(R$4&gt;$E115,MIN(R115,$I115-SUM($J115:R115)))</f>
        <v>6.6128456735057988</v>
      </c>
      <c r="T115" s="2">
        <f>IF(S$4=$E115, $I115*S$57,0) + IF(S$4&gt;$E115,MIN(S115,$I115-SUM($J115:S115)))</f>
        <v>6.6128456735057988</v>
      </c>
      <c r="U115" s="2">
        <f>IF(T$4=$E115, $I115*T$57,0) + IF(T$4&gt;$E115,MIN(T115,$I115-SUM($J115:T115)))</f>
        <v>6.6128456735057988</v>
      </c>
      <c r="V115" s="2">
        <f>IF(U$4=$E115, $I115*U$57,0) + IF(U$4&gt;$E115,MIN(U115,$I115-SUM($J115:U115)))</f>
        <v>6.6128456735057988</v>
      </c>
      <c r="W115" s="2">
        <f>IF(V$4=$E115, $I115*V$57,0) + IF(V$4&gt;$E115,MIN(V115,$I115-SUM($J115:V115)))</f>
        <v>6.6128456735057988</v>
      </c>
      <c r="X115" s="2">
        <f>IF(W$4=$E115, $I115*W$57,0) + IF(W$4&gt;$E115,MIN(W115,$I115-SUM($J115:W115)))</f>
        <v>6.6128456735057988</v>
      </c>
      <c r="Y115" s="2">
        <f>IF(X$4=$E115, $I115*X$57,0) + IF(X$4&gt;$E115,MIN(X115,$I115-SUM($J115:X115)))</f>
        <v>6.6128456735057988</v>
      </c>
      <c r="Z115" s="2">
        <f>IF(Y$4=$E115, $I115*Y$57,0) + IF(Y$4&gt;$E115,MIN(Y115,$I115-SUM($J115:Y115)))</f>
        <v>6.6128456735057988</v>
      </c>
      <c r="AA115" s="2">
        <f>IF(Z$4=$E115, $I115*Z$57,0) + IF(Z$4&gt;$E115,MIN(Z115,$I115-SUM($J115:Z115)))</f>
        <v>6.6128456735057988</v>
      </c>
      <c r="AB115" s="2">
        <f>IF(AA$4=$E115, $I115*AA$57,0) + IF(AA$4&gt;$E115,MIN(AA115,$I115-SUM($J115:AA115)))</f>
        <v>6.6128456735057988</v>
      </c>
      <c r="AC115" s="2">
        <f>IF(AB$4=$E115, $I115*AB$57,0) + IF(AB$4&gt;$E115,MIN(AB115,$I115-SUM($J115:AB115)))</f>
        <v>6.6128456735057988</v>
      </c>
      <c r="AD115" s="2">
        <f>IF(AC$4=$E115, $I115*AC$57,0) + IF(AC$4&gt;$E115,MIN(AC115,$I115-SUM($J115:AC115)))</f>
        <v>6.6128456735057988</v>
      </c>
      <c r="AE115" s="2">
        <f>IF(AD$4=$E115, $I115*AD$57,0) + IF(AD$4&gt;$E115,MIN(AD115,$I115-SUM($J115:AD115)))</f>
        <v>6.6128456735057988</v>
      </c>
      <c r="AF115" s="2">
        <f>IF(AE$4=$E115, $I115*AE$57,0) + IF(AE$4&gt;$E115,MIN(AE115,$I115-SUM($J115:AE115)))</f>
        <v>6.6128456735057988</v>
      </c>
      <c r="AG115" s="2">
        <f>IF(AF$4=$E115, $I115*AF$57,0) + IF(AF$4&gt;$E115,MIN(AF115,$I115-SUM($J115:AF115)))</f>
        <v>6.6128456735057988</v>
      </c>
      <c r="AH115" s="2">
        <f>IF(AG$4=$E115, $I115*AG$57,0) + IF(AG$4&gt;$E115,MIN(AG115,$I115-SUM($J115:AG115)))</f>
        <v>6.6128456735057988</v>
      </c>
      <c r="AI115" s="2">
        <f>IF(AH$4=$E115, $I115*AH$57,0) + IF(AH$4&gt;$E115,MIN(AH115,$I115-SUM($J115:AH115)))</f>
        <v>6.6128456735057988</v>
      </c>
      <c r="AJ115" s="2">
        <f>IF(AI$4=$E115, $I115*AI$57,0) + IF(AI$4&gt;$E115,MIN(AI115,$I115-SUM($J115:AI115)))</f>
        <v>6.6128456735057313</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138.18439418586345</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6.9092197092931729</v>
      </c>
      <c r="S116" s="2">
        <f>IF(R$4=$E116, $I116*R$57,0) + IF(R$4&gt;$E116,MIN(R116,$I116-SUM($J116:R116)))</f>
        <v>6.9092197092931729</v>
      </c>
      <c r="T116" s="2">
        <f>IF(S$4=$E116, $I116*S$57,0) + IF(S$4&gt;$E116,MIN(S116,$I116-SUM($J116:S116)))</f>
        <v>6.9092197092931729</v>
      </c>
      <c r="U116" s="2">
        <f>IF(T$4=$E116, $I116*T$57,0) + IF(T$4&gt;$E116,MIN(T116,$I116-SUM($J116:T116)))</f>
        <v>6.9092197092931729</v>
      </c>
      <c r="V116" s="2">
        <f>IF(U$4=$E116, $I116*U$57,0) + IF(U$4&gt;$E116,MIN(U116,$I116-SUM($J116:U116)))</f>
        <v>6.9092197092931729</v>
      </c>
      <c r="W116" s="2">
        <f>IF(V$4=$E116, $I116*V$57,0) + IF(V$4&gt;$E116,MIN(V116,$I116-SUM($J116:V116)))</f>
        <v>6.9092197092931729</v>
      </c>
      <c r="X116" s="2">
        <f>IF(W$4=$E116, $I116*W$57,0) + IF(W$4&gt;$E116,MIN(W116,$I116-SUM($J116:W116)))</f>
        <v>6.9092197092931729</v>
      </c>
      <c r="Y116" s="2">
        <f>IF(X$4=$E116, $I116*X$57,0) + IF(X$4&gt;$E116,MIN(X116,$I116-SUM($J116:X116)))</f>
        <v>6.9092197092931729</v>
      </c>
      <c r="Z116" s="2">
        <f>IF(Y$4=$E116, $I116*Y$57,0) + IF(Y$4&gt;$E116,MIN(Y116,$I116-SUM($J116:Y116)))</f>
        <v>6.9092197092931729</v>
      </c>
      <c r="AA116" s="2">
        <f>IF(Z$4=$E116, $I116*Z$57,0) + IF(Z$4&gt;$E116,MIN(Z116,$I116-SUM($J116:Z116)))</f>
        <v>6.9092197092931729</v>
      </c>
      <c r="AB116" s="2">
        <f>IF(AA$4=$E116, $I116*AA$57,0) + IF(AA$4&gt;$E116,MIN(AA116,$I116-SUM($J116:AA116)))</f>
        <v>6.9092197092931729</v>
      </c>
      <c r="AC116" s="2">
        <f>IF(AB$4=$E116, $I116*AB$57,0) + IF(AB$4&gt;$E116,MIN(AB116,$I116-SUM($J116:AB116)))</f>
        <v>6.9092197092931729</v>
      </c>
      <c r="AD116" s="2">
        <f>IF(AC$4=$E116, $I116*AC$57,0) + IF(AC$4&gt;$E116,MIN(AC116,$I116-SUM($J116:AC116)))</f>
        <v>6.9092197092931729</v>
      </c>
      <c r="AE116" s="2">
        <f>IF(AD$4=$E116, $I116*AD$57,0) + IF(AD$4&gt;$E116,MIN(AD116,$I116-SUM($J116:AD116)))</f>
        <v>6.9092197092931729</v>
      </c>
      <c r="AF116" s="2">
        <f>IF(AE$4=$E116, $I116*AE$57,0) + IF(AE$4&gt;$E116,MIN(AE116,$I116-SUM($J116:AE116)))</f>
        <v>6.9092197092931729</v>
      </c>
      <c r="AG116" s="2">
        <f>IF(AF$4=$E116, $I116*AF$57,0) + IF(AF$4&gt;$E116,MIN(AF116,$I116-SUM($J116:AF116)))</f>
        <v>6.9092197092931729</v>
      </c>
      <c r="AH116" s="2">
        <f>IF(AG$4=$E116, $I116*AG$57,0) + IF(AG$4&gt;$E116,MIN(AG116,$I116-SUM($J116:AG116)))</f>
        <v>6.9092197092931729</v>
      </c>
      <c r="AI116" s="2">
        <f>IF(AH$4=$E116, $I116*AH$57,0) + IF(AH$4&gt;$E116,MIN(AH116,$I116-SUM($J116:AH116)))</f>
        <v>6.9092197092931729</v>
      </c>
      <c r="AJ116" s="2">
        <f>IF(AI$4=$E116, $I116*AI$57,0) + IF(AI$4&gt;$E116,MIN(AI116,$I116-SUM($J116:AI116)))</f>
        <v>6.9092197092931729</v>
      </c>
      <c r="AK116" s="2">
        <f>IF(AJ$4=$E116, $I116*AJ$57,0) + IF(AJ$4&gt;$E116,MIN(AJ116,$I116-SUM($J116:AJ116)))</f>
        <v>6.9092197092931729</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168.37749908170227</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8.4188749540851138</v>
      </c>
      <c r="T117" s="2">
        <f>IF(S$4=$E117, $I117*S$57,0) + IF(S$4&gt;$E117,MIN(S117,$I117-SUM($J117:S117)))</f>
        <v>8.4188749540851138</v>
      </c>
      <c r="U117" s="2">
        <f>IF(T$4=$E117, $I117*T$57,0) + IF(T$4&gt;$E117,MIN(T117,$I117-SUM($J117:T117)))</f>
        <v>8.4188749540851138</v>
      </c>
      <c r="V117" s="2">
        <f>IF(U$4=$E117, $I117*U$57,0) + IF(U$4&gt;$E117,MIN(U117,$I117-SUM($J117:U117)))</f>
        <v>8.4188749540851138</v>
      </c>
      <c r="W117" s="2">
        <f>IF(V$4=$E117, $I117*V$57,0) + IF(V$4&gt;$E117,MIN(V117,$I117-SUM($J117:V117)))</f>
        <v>8.4188749540851138</v>
      </c>
      <c r="X117" s="2">
        <f>IF(W$4=$E117, $I117*W$57,0) + IF(W$4&gt;$E117,MIN(W117,$I117-SUM($J117:W117)))</f>
        <v>8.4188749540851138</v>
      </c>
      <c r="Y117" s="2">
        <f>IF(X$4=$E117, $I117*X$57,0) + IF(X$4&gt;$E117,MIN(X117,$I117-SUM($J117:X117)))</f>
        <v>8.4188749540851138</v>
      </c>
      <c r="Z117" s="2">
        <f>IF(Y$4=$E117, $I117*Y$57,0) + IF(Y$4&gt;$E117,MIN(Y117,$I117-SUM($J117:Y117)))</f>
        <v>8.4188749540851138</v>
      </c>
      <c r="AA117" s="2">
        <f>IF(Z$4=$E117, $I117*Z$57,0) + IF(Z$4&gt;$E117,MIN(Z117,$I117-SUM($J117:Z117)))</f>
        <v>8.4188749540851138</v>
      </c>
      <c r="AB117" s="2">
        <f>IF(AA$4=$E117, $I117*AA$57,0) + IF(AA$4&gt;$E117,MIN(AA117,$I117-SUM($J117:AA117)))</f>
        <v>8.4188749540851138</v>
      </c>
      <c r="AC117" s="2">
        <f>IF(AB$4=$E117, $I117*AB$57,0) + IF(AB$4&gt;$E117,MIN(AB117,$I117-SUM($J117:AB117)))</f>
        <v>8.4188749540851138</v>
      </c>
      <c r="AD117" s="2">
        <f>IF(AC$4=$E117, $I117*AC$57,0) + IF(AC$4&gt;$E117,MIN(AC117,$I117-SUM($J117:AC117)))</f>
        <v>8.4188749540851138</v>
      </c>
      <c r="AE117" s="2">
        <f>IF(AD$4=$E117, $I117*AD$57,0) + IF(AD$4&gt;$E117,MIN(AD117,$I117-SUM($J117:AD117)))</f>
        <v>8.4188749540851138</v>
      </c>
      <c r="AF117" s="2">
        <f>IF(AE$4=$E117, $I117*AE$57,0) + IF(AE$4&gt;$E117,MIN(AE117,$I117-SUM($J117:AE117)))</f>
        <v>8.4188749540851138</v>
      </c>
      <c r="AG117" s="2">
        <f>IF(AF$4=$E117, $I117*AF$57,0) + IF(AF$4&gt;$E117,MIN(AF117,$I117-SUM($J117:AF117)))</f>
        <v>8.4188749540851138</v>
      </c>
      <c r="AH117" s="2">
        <f>IF(AG$4=$E117, $I117*AG$57,0) + IF(AG$4&gt;$E117,MIN(AG117,$I117-SUM($J117:AG117)))</f>
        <v>8.4188749540851138</v>
      </c>
      <c r="AI117" s="2">
        <f>IF(AH$4=$E117, $I117*AH$57,0) + IF(AH$4&gt;$E117,MIN(AH117,$I117-SUM($J117:AH117)))</f>
        <v>8.4188749540851138</v>
      </c>
      <c r="AJ117" s="2">
        <f>IF(AI$4=$E117, $I117*AI$57,0) + IF(AI$4&gt;$E117,MIN(AI117,$I117-SUM($J117:AI117)))</f>
        <v>8.4188749540851138</v>
      </c>
      <c r="AK117" s="2">
        <f>IF(AJ$4=$E117, $I117*AJ$57,0) + IF(AJ$4&gt;$E117,MIN(AJ117,$I117-SUM($J117:AJ117)))</f>
        <v>8.4188749540851138</v>
      </c>
      <c r="AL117" s="2">
        <f>IF(AK$4=$E117, $I117*AK$57,0) + IF(AK$4&gt;$E117,MIN(AK117,$I117-SUM($J117:AK117)))</f>
        <v>8.418874954085112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180.29446944987433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9.0147234724937171</v>
      </c>
      <c r="U118" s="2">
        <f>IF(T$4=$E118, $I118*T$57,0) + IF(T$4&gt;$E118,MIN(T118,$I118-SUM($J118:T118)))</f>
        <v>9.0147234724937171</v>
      </c>
      <c r="V118" s="2">
        <f>IF(U$4=$E118, $I118*U$57,0) + IF(U$4&gt;$E118,MIN(U118,$I118-SUM($J118:U118)))</f>
        <v>9.0147234724937171</v>
      </c>
      <c r="W118" s="2">
        <f>IF(V$4=$E118, $I118*V$57,0) + IF(V$4&gt;$E118,MIN(V118,$I118-SUM($J118:V118)))</f>
        <v>9.0147234724937171</v>
      </c>
      <c r="X118" s="2">
        <f>IF(W$4=$E118, $I118*W$57,0) + IF(W$4&gt;$E118,MIN(W118,$I118-SUM($J118:W118)))</f>
        <v>9.0147234724937171</v>
      </c>
      <c r="Y118" s="2">
        <f>IF(X$4=$E118, $I118*X$57,0) + IF(X$4&gt;$E118,MIN(X118,$I118-SUM($J118:X118)))</f>
        <v>9.0147234724937171</v>
      </c>
      <c r="Z118" s="2">
        <f>IF(Y$4=$E118, $I118*Y$57,0) + IF(Y$4&gt;$E118,MIN(Y118,$I118-SUM($J118:Y118)))</f>
        <v>9.0147234724937171</v>
      </c>
      <c r="AA118" s="2">
        <f>IF(Z$4=$E118, $I118*Z$57,0) + IF(Z$4&gt;$E118,MIN(Z118,$I118-SUM($J118:Z118)))</f>
        <v>9.0147234724937171</v>
      </c>
      <c r="AB118" s="2">
        <f>IF(AA$4=$E118, $I118*AA$57,0) + IF(AA$4&gt;$E118,MIN(AA118,$I118-SUM($J118:AA118)))</f>
        <v>9.0147234724937171</v>
      </c>
      <c r="AC118" s="2">
        <f>IF(AB$4=$E118, $I118*AB$57,0) + IF(AB$4&gt;$E118,MIN(AB118,$I118-SUM($J118:AB118)))</f>
        <v>9.0147234724937171</v>
      </c>
      <c r="AD118" s="2">
        <f>IF(AC$4=$E118, $I118*AC$57,0) + IF(AC$4&gt;$E118,MIN(AC118,$I118-SUM($J118:AC118)))</f>
        <v>9.0147234724937171</v>
      </c>
      <c r="AE118" s="2">
        <f>IF(AD$4=$E118, $I118*AD$57,0) + IF(AD$4&gt;$E118,MIN(AD118,$I118-SUM($J118:AD118)))</f>
        <v>9.0147234724937171</v>
      </c>
      <c r="AF118" s="2">
        <f>IF(AE$4=$E118, $I118*AE$57,0) + IF(AE$4&gt;$E118,MIN(AE118,$I118-SUM($J118:AE118)))</f>
        <v>9.0147234724937171</v>
      </c>
      <c r="AG118" s="2">
        <f>IF(AF$4=$E118, $I118*AF$57,0) + IF(AF$4&gt;$E118,MIN(AF118,$I118-SUM($J118:AF118)))</f>
        <v>9.0147234724937171</v>
      </c>
      <c r="AH118" s="2">
        <f>IF(AG$4=$E118, $I118*AG$57,0) + IF(AG$4&gt;$E118,MIN(AG118,$I118-SUM($J118:AG118)))</f>
        <v>9.0147234724937171</v>
      </c>
      <c r="AI118" s="2">
        <f>IF(AH$4=$E118, $I118*AH$57,0) + IF(AH$4&gt;$E118,MIN(AH118,$I118-SUM($J118:AH118)))</f>
        <v>9.0147234724937171</v>
      </c>
      <c r="AJ118" s="2">
        <f>IF(AI$4=$E118, $I118*AI$57,0) + IF(AI$4&gt;$E118,MIN(AI118,$I118-SUM($J118:AI118)))</f>
        <v>9.0147234724937171</v>
      </c>
      <c r="AK118" s="2">
        <f>IF(AJ$4=$E118, $I118*AJ$57,0) + IF(AJ$4&gt;$E118,MIN(AJ118,$I118-SUM($J118:AJ118)))</f>
        <v>9.0147234724937171</v>
      </c>
      <c r="AL118" s="2">
        <f>IF(AK$4=$E118, $I118*AK$57,0) + IF(AK$4&gt;$E118,MIN(AK118,$I118-SUM($J118:AK118)))</f>
        <v>9.0147234724937171</v>
      </c>
      <c r="AM118" s="2">
        <f>IF(AL$4=$E118, $I118*AL$57,0) + IF(AL$4&gt;$E118,MIN(AL118,$I118-SUM($J118:AL118)))</f>
        <v>9.0147234724936993</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165.71182853848742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8.2855914269243716</v>
      </c>
      <c r="V119" s="2">
        <f>IF(U$4=$E119, $I119*U$57,0) + IF(U$4&gt;$E119,MIN(U119,$I119-SUM($J119:U119)))</f>
        <v>8.2855914269243716</v>
      </c>
      <c r="W119" s="2">
        <f>IF(V$4=$E119, $I119*V$57,0) + IF(V$4&gt;$E119,MIN(V119,$I119-SUM($J119:V119)))</f>
        <v>8.2855914269243716</v>
      </c>
      <c r="X119" s="2">
        <f>IF(W$4=$E119, $I119*W$57,0) + IF(W$4&gt;$E119,MIN(W119,$I119-SUM($J119:W119)))</f>
        <v>8.2855914269243716</v>
      </c>
      <c r="Y119" s="2">
        <f>IF(X$4=$E119, $I119*X$57,0) + IF(X$4&gt;$E119,MIN(X119,$I119-SUM($J119:X119)))</f>
        <v>8.2855914269243716</v>
      </c>
      <c r="Z119" s="2">
        <f>IF(Y$4=$E119, $I119*Y$57,0) + IF(Y$4&gt;$E119,MIN(Y119,$I119-SUM($J119:Y119)))</f>
        <v>8.2855914269243716</v>
      </c>
      <c r="AA119" s="2">
        <f>IF(Z$4=$E119, $I119*Z$57,0) + IF(Z$4&gt;$E119,MIN(Z119,$I119-SUM($J119:Z119)))</f>
        <v>8.2855914269243716</v>
      </c>
      <c r="AB119" s="2">
        <f>IF(AA$4=$E119, $I119*AA$57,0) + IF(AA$4&gt;$E119,MIN(AA119,$I119-SUM($J119:AA119)))</f>
        <v>8.2855914269243716</v>
      </c>
      <c r="AC119" s="2">
        <f>IF(AB$4=$E119, $I119*AB$57,0) + IF(AB$4&gt;$E119,MIN(AB119,$I119-SUM($J119:AB119)))</f>
        <v>8.2855914269243716</v>
      </c>
      <c r="AD119" s="2">
        <f>IF(AC$4=$E119, $I119*AC$57,0) + IF(AC$4&gt;$E119,MIN(AC119,$I119-SUM($J119:AC119)))</f>
        <v>8.2855914269243716</v>
      </c>
      <c r="AE119" s="2">
        <f>IF(AD$4=$E119, $I119*AD$57,0) + IF(AD$4&gt;$E119,MIN(AD119,$I119-SUM($J119:AD119)))</f>
        <v>8.2855914269243716</v>
      </c>
      <c r="AF119" s="2">
        <f>IF(AE$4=$E119, $I119*AE$57,0) + IF(AE$4&gt;$E119,MIN(AE119,$I119-SUM($J119:AE119)))</f>
        <v>8.2855914269243716</v>
      </c>
      <c r="AG119" s="2">
        <f>IF(AF$4=$E119, $I119*AF$57,0) + IF(AF$4&gt;$E119,MIN(AF119,$I119-SUM($J119:AF119)))</f>
        <v>8.2855914269243716</v>
      </c>
      <c r="AH119" s="2">
        <f>IF(AG$4=$E119, $I119*AG$57,0) + IF(AG$4&gt;$E119,MIN(AG119,$I119-SUM($J119:AG119)))</f>
        <v>8.2855914269243716</v>
      </c>
      <c r="AI119" s="2">
        <f>IF(AH$4=$E119, $I119*AH$57,0) + IF(AH$4&gt;$E119,MIN(AH119,$I119-SUM($J119:AH119)))</f>
        <v>8.2855914269243716</v>
      </c>
      <c r="AJ119" s="2">
        <f>IF(AI$4=$E119, $I119*AI$57,0) + IF(AI$4&gt;$E119,MIN(AI119,$I119-SUM($J119:AI119)))</f>
        <v>8.2855914269243716</v>
      </c>
      <c r="AK119" s="2">
        <f>IF(AJ$4=$E119, $I119*AJ$57,0) + IF(AJ$4&gt;$E119,MIN(AJ119,$I119-SUM($J119:AJ119)))</f>
        <v>8.2855914269243716</v>
      </c>
      <c r="AL119" s="2">
        <f>IF(AK$4=$E119, $I119*AK$57,0) + IF(AK$4&gt;$E119,MIN(AK119,$I119-SUM($J119:AK119)))</f>
        <v>8.2855914269243716</v>
      </c>
      <c r="AM119" s="2">
        <f>IF(AL$4=$E119, $I119*AL$57,0) + IF(AL$4&gt;$E119,MIN(AL119,$I119-SUM($J119:AL119)))</f>
        <v>8.2855914269243716</v>
      </c>
      <c r="AN119" s="2">
        <f>IF(AM$4=$E119, $I119*AM$57,0) + IF(AM$4&gt;$E119,MIN(AM119,$I119-SUM($J119:AM119)))</f>
        <v>8.2855914269243272</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143.89240198462886</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7.1946200992314431</v>
      </c>
      <c r="W120" s="2">
        <f>IF(V$4=$E120, $I120*V$57,0) + IF(V$4&gt;$E120,MIN(V120,$I120-SUM($J120:V120)))</f>
        <v>7.1946200992314431</v>
      </c>
      <c r="X120" s="2">
        <f>IF(W$4=$E120, $I120*W$57,0) + IF(W$4&gt;$E120,MIN(W120,$I120-SUM($J120:W120)))</f>
        <v>7.1946200992314431</v>
      </c>
      <c r="Y120" s="2">
        <f>IF(X$4=$E120, $I120*X$57,0) + IF(X$4&gt;$E120,MIN(X120,$I120-SUM($J120:X120)))</f>
        <v>7.1946200992314431</v>
      </c>
      <c r="Z120" s="2">
        <f>IF(Y$4=$E120, $I120*Y$57,0) + IF(Y$4&gt;$E120,MIN(Y120,$I120-SUM($J120:Y120)))</f>
        <v>7.1946200992314431</v>
      </c>
      <c r="AA120" s="2">
        <f>IF(Z$4=$E120, $I120*Z$57,0) + IF(Z$4&gt;$E120,MIN(Z120,$I120-SUM($J120:Z120)))</f>
        <v>7.1946200992314431</v>
      </c>
      <c r="AB120" s="2">
        <f>IF(AA$4=$E120, $I120*AA$57,0) + IF(AA$4&gt;$E120,MIN(AA120,$I120-SUM($J120:AA120)))</f>
        <v>7.1946200992314431</v>
      </c>
      <c r="AC120" s="2">
        <f>IF(AB$4=$E120, $I120*AB$57,0) + IF(AB$4&gt;$E120,MIN(AB120,$I120-SUM($J120:AB120)))</f>
        <v>7.1946200992314431</v>
      </c>
      <c r="AD120" s="2">
        <f>IF(AC$4=$E120, $I120*AC$57,0) + IF(AC$4&gt;$E120,MIN(AC120,$I120-SUM($J120:AC120)))</f>
        <v>7.1946200992314431</v>
      </c>
      <c r="AE120" s="2">
        <f>IF(AD$4=$E120, $I120*AD$57,0) + IF(AD$4&gt;$E120,MIN(AD120,$I120-SUM($J120:AD120)))</f>
        <v>7.1946200992314431</v>
      </c>
      <c r="AF120" s="2">
        <f>IF(AE$4=$E120, $I120*AE$57,0) + IF(AE$4&gt;$E120,MIN(AE120,$I120-SUM($J120:AE120)))</f>
        <v>7.1946200992314431</v>
      </c>
      <c r="AG120" s="2">
        <f>IF(AF$4=$E120, $I120*AF$57,0) + IF(AF$4&gt;$E120,MIN(AF120,$I120-SUM($J120:AF120)))</f>
        <v>7.1946200992314431</v>
      </c>
      <c r="AH120" s="2">
        <f>IF(AG$4=$E120, $I120*AG$57,0) + IF(AG$4&gt;$E120,MIN(AG120,$I120-SUM($J120:AG120)))</f>
        <v>7.1946200992314431</v>
      </c>
      <c r="AI120" s="2">
        <f>IF(AH$4=$E120, $I120*AH$57,0) + IF(AH$4&gt;$E120,MIN(AH120,$I120-SUM($J120:AH120)))</f>
        <v>7.1946200992314431</v>
      </c>
      <c r="AJ120" s="2">
        <f>IF(AI$4=$E120, $I120*AI$57,0) + IF(AI$4&gt;$E120,MIN(AI120,$I120-SUM($J120:AI120)))</f>
        <v>7.1946200992314431</v>
      </c>
      <c r="AK120" s="2">
        <f>IF(AJ$4=$E120, $I120*AJ$57,0) + IF(AJ$4&gt;$E120,MIN(AJ120,$I120-SUM($J120:AJ120)))</f>
        <v>7.1946200992314431</v>
      </c>
      <c r="AL120" s="2">
        <f>IF(AK$4=$E120, $I120*AK$57,0) + IF(AK$4&gt;$E120,MIN(AK120,$I120-SUM($J120:AK120)))</f>
        <v>7.1946200992314431</v>
      </c>
      <c r="AM120" s="2">
        <f>IF(AL$4=$E120, $I120*AL$57,0) + IF(AL$4&gt;$E120,MIN(AL120,$I120-SUM($J120:AL120)))</f>
        <v>7.1946200992314431</v>
      </c>
      <c r="AN120" s="2">
        <f>IF(AM$4=$E120, $I120*AM$57,0) + IF(AM$4&gt;$E120,MIN(AM120,$I120-SUM($J120:AM120)))</f>
        <v>7.1946200992314431</v>
      </c>
      <c r="AO120" s="2">
        <f>IF(AN$4=$E120, $I120*AN$57,0) + IF(AN$4&gt;$E120,MIN(AN120,$I120-SUM($J120:AN120)))</f>
        <v>7.1946200992314289</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131.62425113826984</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6.5812125569134921</v>
      </c>
      <c r="X121" s="2">
        <f>IF(W$4=$E121, $I121*W$57,0) + IF(W$4&gt;$E121,MIN(W121,$I121-SUM($J121:W121)))</f>
        <v>6.5812125569134921</v>
      </c>
      <c r="Y121" s="2">
        <f>IF(X$4=$E121, $I121*X$57,0) + IF(X$4&gt;$E121,MIN(X121,$I121-SUM($J121:X121)))</f>
        <v>6.5812125569134921</v>
      </c>
      <c r="Z121" s="2">
        <f>IF(Y$4=$E121, $I121*Y$57,0) + IF(Y$4&gt;$E121,MIN(Y121,$I121-SUM($J121:Y121)))</f>
        <v>6.5812125569134921</v>
      </c>
      <c r="AA121" s="2">
        <f>IF(Z$4=$E121, $I121*Z$57,0) + IF(Z$4&gt;$E121,MIN(Z121,$I121-SUM($J121:Z121)))</f>
        <v>6.5812125569134921</v>
      </c>
      <c r="AB121" s="2">
        <f>IF(AA$4=$E121, $I121*AA$57,0) + IF(AA$4&gt;$E121,MIN(AA121,$I121-SUM($J121:AA121)))</f>
        <v>6.5812125569134921</v>
      </c>
      <c r="AC121" s="2">
        <f>IF(AB$4=$E121, $I121*AB$57,0) + IF(AB$4&gt;$E121,MIN(AB121,$I121-SUM($J121:AB121)))</f>
        <v>6.5812125569134921</v>
      </c>
      <c r="AD121" s="2">
        <f>IF(AC$4=$E121, $I121*AC$57,0) + IF(AC$4&gt;$E121,MIN(AC121,$I121-SUM($J121:AC121)))</f>
        <v>6.5812125569134921</v>
      </c>
      <c r="AE121" s="2">
        <f>IF(AD$4=$E121, $I121*AD$57,0) + IF(AD$4&gt;$E121,MIN(AD121,$I121-SUM($J121:AD121)))</f>
        <v>6.5812125569134921</v>
      </c>
      <c r="AF121" s="2">
        <f>IF(AE$4=$E121, $I121*AE$57,0) + IF(AE$4&gt;$E121,MIN(AE121,$I121-SUM($J121:AE121)))</f>
        <v>6.5812125569134921</v>
      </c>
      <c r="AG121" s="2">
        <f>IF(AF$4=$E121, $I121*AF$57,0) + IF(AF$4&gt;$E121,MIN(AF121,$I121-SUM($J121:AF121)))</f>
        <v>6.5812125569134921</v>
      </c>
      <c r="AH121" s="2">
        <f>IF(AG$4=$E121, $I121*AG$57,0) + IF(AG$4&gt;$E121,MIN(AG121,$I121-SUM($J121:AG121)))</f>
        <v>6.5812125569134921</v>
      </c>
      <c r="AI121" s="2">
        <f>IF(AH$4=$E121, $I121*AH$57,0) + IF(AH$4&gt;$E121,MIN(AH121,$I121-SUM($J121:AH121)))</f>
        <v>6.5812125569134921</v>
      </c>
      <c r="AJ121" s="2">
        <f>IF(AI$4=$E121, $I121*AI$57,0) + IF(AI$4&gt;$E121,MIN(AI121,$I121-SUM($J121:AI121)))</f>
        <v>6.5812125569134921</v>
      </c>
      <c r="AK121" s="2">
        <f>IF(AJ$4=$E121, $I121*AJ$57,0) + IF(AJ$4&gt;$E121,MIN(AJ121,$I121-SUM($J121:AJ121)))</f>
        <v>6.5812125569134921</v>
      </c>
      <c r="AL121" s="2">
        <f>IF(AK$4=$E121, $I121*AK$57,0) + IF(AK$4&gt;$E121,MIN(AK121,$I121-SUM($J121:AK121)))</f>
        <v>6.5812125569134921</v>
      </c>
      <c r="AM121" s="2">
        <f>IF(AL$4=$E121, $I121*AL$57,0) + IF(AL$4&gt;$E121,MIN(AL121,$I121-SUM($J121:AL121)))</f>
        <v>6.5812125569134921</v>
      </c>
      <c r="AN121" s="2">
        <f>IF(AM$4=$E121, $I121*AM$57,0) + IF(AM$4&gt;$E121,MIN(AM121,$I121-SUM($J121:AM121)))</f>
        <v>6.5812125569134921</v>
      </c>
      <c r="AO121" s="2">
        <f>IF(AN$4=$E121, $I121*AN$57,0) + IF(AN$4&gt;$E121,MIN(AN121,$I121-SUM($J121:AN121)))</f>
        <v>6.5812125569134921</v>
      </c>
      <c r="AP121" s="2">
        <f>IF(AO$4=$E121, $I121*AO$57,0) + IF(AO$4&gt;$E121,MIN(AO121,$I121-SUM($J121:AO121)))</f>
        <v>6.5812125569134423</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152.1201964892596</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7.6060098244629799</v>
      </c>
      <c r="Y122" s="2">
        <f>IF(X$4=$E122, $I122*X$57,0) + IF(X$4&gt;$E122,MIN(X122,$I122-SUM($J122:X122)))</f>
        <v>7.6060098244629799</v>
      </c>
      <c r="Z122" s="2">
        <f>IF(Y$4=$E122, $I122*Y$57,0) + IF(Y$4&gt;$E122,MIN(Y122,$I122-SUM($J122:Y122)))</f>
        <v>7.6060098244629799</v>
      </c>
      <c r="AA122" s="2">
        <f>IF(Z$4=$E122, $I122*Z$57,0) + IF(Z$4&gt;$E122,MIN(Z122,$I122-SUM($J122:Z122)))</f>
        <v>7.6060098244629799</v>
      </c>
      <c r="AB122" s="2">
        <f>IF(AA$4=$E122, $I122*AA$57,0) + IF(AA$4&gt;$E122,MIN(AA122,$I122-SUM($J122:AA122)))</f>
        <v>7.6060098244629799</v>
      </c>
      <c r="AC122" s="2">
        <f>IF(AB$4=$E122, $I122*AB$57,0) + IF(AB$4&gt;$E122,MIN(AB122,$I122-SUM($J122:AB122)))</f>
        <v>7.6060098244629799</v>
      </c>
      <c r="AD122" s="2">
        <f>IF(AC$4=$E122, $I122*AC$57,0) + IF(AC$4&gt;$E122,MIN(AC122,$I122-SUM($J122:AC122)))</f>
        <v>7.6060098244629799</v>
      </c>
      <c r="AE122" s="2">
        <f>IF(AD$4=$E122, $I122*AD$57,0) + IF(AD$4&gt;$E122,MIN(AD122,$I122-SUM($J122:AD122)))</f>
        <v>7.6060098244629799</v>
      </c>
      <c r="AF122" s="2">
        <f>IF(AE$4=$E122, $I122*AE$57,0) + IF(AE$4&gt;$E122,MIN(AE122,$I122-SUM($J122:AE122)))</f>
        <v>7.6060098244629799</v>
      </c>
      <c r="AG122" s="2">
        <f>IF(AF$4=$E122, $I122*AF$57,0) + IF(AF$4&gt;$E122,MIN(AF122,$I122-SUM($J122:AF122)))</f>
        <v>7.6060098244629799</v>
      </c>
      <c r="AH122" s="2">
        <f>IF(AG$4=$E122, $I122*AG$57,0) + IF(AG$4&gt;$E122,MIN(AG122,$I122-SUM($J122:AG122)))</f>
        <v>7.6060098244629799</v>
      </c>
      <c r="AI122" s="2">
        <f>IF(AH$4=$E122, $I122*AH$57,0) + IF(AH$4&gt;$E122,MIN(AH122,$I122-SUM($J122:AH122)))</f>
        <v>7.6060098244629799</v>
      </c>
      <c r="AJ122" s="2">
        <f>IF(AI$4=$E122, $I122*AI$57,0) + IF(AI$4&gt;$E122,MIN(AI122,$I122-SUM($J122:AI122)))</f>
        <v>7.6060098244629799</v>
      </c>
      <c r="AK122" s="2">
        <f>IF(AJ$4=$E122, $I122*AJ$57,0) + IF(AJ$4&gt;$E122,MIN(AJ122,$I122-SUM($J122:AJ122)))</f>
        <v>7.6060098244629799</v>
      </c>
      <c r="AL122" s="2">
        <f>IF(AK$4=$E122, $I122*AK$57,0) + IF(AK$4&gt;$E122,MIN(AK122,$I122-SUM($J122:AK122)))</f>
        <v>7.6060098244629799</v>
      </c>
      <c r="AM122" s="2">
        <f>IF(AL$4=$E122, $I122*AL$57,0) + IF(AL$4&gt;$E122,MIN(AL122,$I122-SUM($J122:AL122)))</f>
        <v>7.6060098244629799</v>
      </c>
      <c r="AN122" s="2">
        <f>IF(AM$4=$E122, $I122*AM$57,0) + IF(AM$4&gt;$E122,MIN(AM122,$I122-SUM($J122:AM122)))</f>
        <v>7.6060098244629799</v>
      </c>
      <c r="AO122" s="2">
        <f>IF(AN$4=$E122, $I122*AN$57,0) + IF(AN$4&gt;$E122,MIN(AN122,$I122-SUM($J122:AN122)))</f>
        <v>7.6060098244629799</v>
      </c>
      <c r="AP122" s="2">
        <f>IF(AO$4=$E122, $I122*AO$57,0) + IF(AO$4&gt;$E122,MIN(AO122,$I122-SUM($J122:AO122)))</f>
        <v>7.6060098244629799</v>
      </c>
      <c r="AQ122" s="57">
        <f>IF(AP$4=$E122, $I122*AP$57,0) + IF(AP$4&gt;$E122,MIN(AP122,$I122-SUM($J122:AP122)))</f>
        <v>7.6060098244629799</v>
      </c>
      <c r="AR122" s="2">
        <f>IF(AQ$4=$E122, $I122*AQ$57,0) + IF(AQ$4&gt;$E122,MIN(AQ122,$I122-SUM($J122:AQ122)))</f>
        <v>8.5265128291212022E-14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179.58715805818156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8.9793579029090775</v>
      </c>
      <c r="Z123" s="2">
        <f>IF(Y$4=$E123, $I123*Y$57,0) + IF(Y$4&gt;$E123,MIN(Y123,$I123-SUM($J123:Y123)))</f>
        <v>8.9793579029090775</v>
      </c>
      <c r="AA123" s="2">
        <f>IF(Z$4=$E123, $I123*Z$57,0) + IF(Z$4&gt;$E123,MIN(Z123,$I123-SUM($J123:Z123)))</f>
        <v>8.9793579029090775</v>
      </c>
      <c r="AB123" s="2">
        <f>IF(AA$4=$E123, $I123*AA$57,0) + IF(AA$4&gt;$E123,MIN(AA123,$I123-SUM($J123:AA123)))</f>
        <v>8.9793579029090775</v>
      </c>
      <c r="AC123" s="2">
        <f>IF(AB$4=$E123, $I123*AB$57,0) + IF(AB$4&gt;$E123,MIN(AB123,$I123-SUM($J123:AB123)))</f>
        <v>8.9793579029090775</v>
      </c>
      <c r="AD123" s="2">
        <f>IF(AC$4=$E123, $I123*AC$57,0) + IF(AC$4&gt;$E123,MIN(AC123,$I123-SUM($J123:AC123)))</f>
        <v>8.9793579029090775</v>
      </c>
      <c r="AE123" s="2">
        <f>IF(AD$4=$E123, $I123*AD$57,0) + IF(AD$4&gt;$E123,MIN(AD123,$I123-SUM($J123:AD123)))</f>
        <v>8.9793579029090775</v>
      </c>
      <c r="AF123" s="2">
        <f>IF(AE$4=$E123, $I123*AE$57,0) + IF(AE$4&gt;$E123,MIN(AE123,$I123-SUM($J123:AE123)))</f>
        <v>8.9793579029090775</v>
      </c>
      <c r="AG123" s="2">
        <f>IF(AF$4=$E123, $I123*AF$57,0) + IF(AF$4&gt;$E123,MIN(AF123,$I123-SUM($J123:AF123)))</f>
        <v>8.9793579029090775</v>
      </c>
      <c r="AH123" s="2">
        <f>IF(AG$4=$E123, $I123*AG$57,0) + IF(AG$4&gt;$E123,MIN(AG123,$I123-SUM($J123:AG123)))</f>
        <v>8.9793579029090775</v>
      </c>
      <c r="AI123" s="2">
        <f>IF(AH$4=$E123, $I123*AH$57,0) + IF(AH$4&gt;$E123,MIN(AH123,$I123-SUM($J123:AH123)))</f>
        <v>8.9793579029090775</v>
      </c>
      <c r="AJ123" s="2">
        <f>IF(AI$4=$E123, $I123*AI$57,0) + IF(AI$4&gt;$E123,MIN(AI123,$I123-SUM($J123:AI123)))</f>
        <v>8.9793579029090775</v>
      </c>
      <c r="AK123" s="2">
        <f>IF(AJ$4=$E123, $I123*AJ$57,0) + IF(AJ$4&gt;$E123,MIN(AJ123,$I123-SUM($J123:AJ123)))</f>
        <v>8.9793579029090775</v>
      </c>
      <c r="AL123" s="2">
        <f>IF(AK$4=$E123, $I123*AK$57,0) + IF(AK$4&gt;$E123,MIN(AK123,$I123-SUM($J123:AK123)))</f>
        <v>8.9793579029090775</v>
      </c>
      <c r="AM123" s="2">
        <f>IF(AL$4=$E123, $I123*AL$57,0) + IF(AL$4&gt;$E123,MIN(AL123,$I123-SUM($J123:AL123)))</f>
        <v>8.9793579029090775</v>
      </c>
      <c r="AN123" s="2">
        <f>IF(AM$4=$E123, $I123*AM$57,0) + IF(AM$4&gt;$E123,MIN(AM123,$I123-SUM($J123:AM123)))</f>
        <v>8.9793579029090775</v>
      </c>
      <c r="AO123" s="2">
        <f>IF(AN$4=$E123, $I123*AN$57,0) + IF(AN$4&gt;$E123,MIN(AN123,$I123-SUM($J123:AN123)))</f>
        <v>8.9793579029090775</v>
      </c>
      <c r="AP123" s="2">
        <f>IF(AO$4=$E123, $I123*AO$57,0) + IF(AO$4&gt;$E123,MIN(AO123,$I123-SUM($J123:AO123)))</f>
        <v>8.9793579029090775</v>
      </c>
      <c r="AQ123" s="57">
        <f>IF(AP$4=$E123, $I123*AP$57,0) + IF(AP$4&gt;$E123,MIN(AP123,$I123-SUM($J123:AP123)))</f>
        <v>8.9793579029090775</v>
      </c>
      <c r="AR123" s="2">
        <f>IF(AQ$4=$E123, $I123*AQ$57,0) + IF(AQ$4&gt;$E123,MIN(AQ123,$I123-SUM($J123:AQ123)))</f>
        <v>8.9793579029090775</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173.32006211906727</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8.6660031059533633</v>
      </c>
      <c r="AA124" s="2">
        <f>IF(Z$4=$E124, $I124*Z$57,0) + IF(Z$4&gt;$E124,MIN(Z124,$I124-SUM($J124:Z124)))</f>
        <v>8.6660031059533633</v>
      </c>
      <c r="AB124" s="2">
        <f>IF(AA$4=$E124, $I124*AA$57,0) + IF(AA$4&gt;$E124,MIN(AA124,$I124-SUM($J124:AA124)))</f>
        <v>8.6660031059533633</v>
      </c>
      <c r="AC124" s="2">
        <f>IF(AB$4=$E124, $I124*AB$57,0) + IF(AB$4&gt;$E124,MIN(AB124,$I124-SUM($J124:AB124)))</f>
        <v>8.6660031059533633</v>
      </c>
      <c r="AD124" s="2">
        <f>IF(AC$4=$E124, $I124*AC$57,0) + IF(AC$4&gt;$E124,MIN(AC124,$I124-SUM($J124:AC124)))</f>
        <v>8.6660031059533633</v>
      </c>
      <c r="AE124" s="2">
        <f>IF(AD$4=$E124, $I124*AD$57,0) + IF(AD$4&gt;$E124,MIN(AD124,$I124-SUM($J124:AD124)))</f>
        <v>8.6660031059533633</v>
      </c>
      <c r="AF124" s="2">
        <f>IF(AE$4=$E124, $I124*AE$57,0) + IF(AE$4&gt;$E124,MIN(AE124,$I124-SUM($J124:AE124)))</f>
        <v>8.6660031059533633</v>
      </c>
      <c r="AG124" s="2">
        <f>IF(AF$4=$E124, $I124*AF$57,0) + IF(AF$4&gt;$E124,MIN(AF124,$I124-SUM($J124:AF124)))</f>
        <v>8.6660031059533633</v>
      </c>
      <c r="AH124" s="2">
        <f>IF(AG$4=$E124, $I124*AG$57,0) + IF(AG$4&gt;$E124,MIN(AG124,$I124-SUM($J124:AG124)))</f>
        <v>8.6660031059533633</v>
      </c>
      <c r="AI124" s="2">
        <f>IF(AH$4=$E124, $I124*AH$57,0) + IF(AH$4&gt;$E124,MIN(AH124,$I124-SUM($J124:AH124)))</f>
        <v>8.6660031059533633</v>
      </c>
      <c r="AJ124" s="2">
        <f>IF(AI$4=$E124, $I124*AI$57,0) + IF(AI$4&gt;$E124,MIN(AI124,$I124-SUM($J124:AI124)))</f>
        <v>8.6660031059533633</v>
      </c>
      <c r="AK124" s="2">
        <f>IF(AJ$4=$E124, $I124*AJ$57,0) + IF(AJ$4&gt;$E124,MIN(AJ124,$I124-SUM($J124:AJ124)))</f>
        <v>8.6660031059533633</v>
      </c>
      <c r="AL124" s="2">
        <f>IF(AK$4=$E124, $I124*AK$57,0) + IF(AK$4&gt;$E124,MIN(AK124,$I124-SUM($J124:AK124)))</f>
        <v>8.6660031059533633</v>
      </c>
      <c r="AM124" s="2">
        <f>IF(AL$4=$E124, $I124*AL$57,0) + IF(AL$4&gt;$E124,MIN(AL124,$I124-SUM($J124:AL124)))</f>
        <v>8.6660031059533633</v>
      </c>
      <c r="AN124" s="2">
        <f>IF(AM$4=$E124, $I124*AM$57,0) + IF(AM$4&gt;$E124,MIN(AM124,$I124-SUM($J124:AM124)))</f>
        <v>8.6660031059533633</v>
      </c>
      <c r="AO124" s="2">
        <f>IF(AN$4=$E124, $I124*AN$57,0) + IF(AN$4&gt;$E124,MIN(AN124,$I124-SUM($J124:AN124)))</f>
        <v>8.6660031059533633</v>
      </c>
      <c r="AP124" s="2">
        <f>IF(AO$4=$E124, $I124*AO$57,0) + IF(AO$4&gt;$E124,MIN(AO124,$I124-SUM($J124:AO124)))</f>
        <v>8.6660031059533633</v>
      </c>
      <c r="AQ124" s="57">
        <f>IF(AP$4=$E124, $I124*AP$57,0) + IF(AP$4&gt;$E124,MIN(AP124,$I124-SUM($J124:AP124)))</f>
        <v>8.6660031059533633</v>
      </c>
      <c r="AR124" s="2">
        <f>IF(AQ$4=$E124, $I124*AQ$57,0) + IF(AQ$4&gt;$E124,MIN(AQ124,$I124-SUM($J124:AQ124)))</f>
        <v>8.6660031059533633</v>
      </c>
      <c r="AS124" s="2">
        <f>IF(AR$4=$E124, $I124*AR$57,0) + IF(AR$4&gt;$E124,MIN(AR124,$I124-SUM($J124:AR124)))</f>
        <v>8.6660031059533633</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203.36386369721032</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10.168193184860517</v>
      </c>
      <c r="AB125" s="2">
        <f>IF(AA$4=$E125, $I125*AA$57,0) + IF(AA$4&gt;$E125,MIN(AA125,$I125-SUM($J125:AA125)))</f>
        <v>10.168193184860517</v>
      </c>
      <c r="AC125" s="2">
        <f>IF(AB$4=$E125, $I125*AB$57,0) + IF(AB$4&gt;$E125,MIN(AB125,$I125-SUM($J125:AB125)))</f>
        <v>10.168193184860517</v>
      </c>
      <c r="AD125" s="2">
        <f>IF(AC$4=$E125, $I125*AC$57,0) + IF(AC$4&gt;$E125,MIN(AC125,$I125-SUM($J125:AC125)))</f>
        <v>10.168193184860517</v>
      </c>
      <c r="AE125" s="2">
        <f>IF(AD$4=$E125, $I125*AD$57,0) + IF(AD$4&gt;$E125,MIN(AD125,$I125-SUM($J125:AD125)))</f>
        <v>10.168193184860517</v>
      </c>
      <c r="AF125" s="2">
        <f>IF(AE$4=$E125, $I125*AE$57,0) + IF(AE$4&gt;$E125,MIN(AE125,$I125-SUM($J125:AE125)))</f>
        <v>10.168193184860517</v>
      </c>
      <c r="AG125" s="2">
        <f>IF(AF$4=$E125, $I125*AF$57,0) + IF(AF$4&gt;$E125,MIN(AF125,$I125-SUM($J125:AF125)))</f>
        <v>10.168193184860517</v>
      </c>
      <c r="AH125" s="2">
        <f>IF(AG$4=$E125, $I125*AG$57,0) + IF(AG$4&gt;$E125,MIN(AG125,$I125-SUM($J125:AG125)))</f>
        <v>10.168193184860517</v>
      </c>
      <c r="AI125" s="2">
        <f>IF(AH$4=$E125, $I125*AH$57,0) + IF(AH$4&gt;$E125,MIN(AH125,$I125-SUM($J125:AH125)))</f>
        <v>10.168193184860517</v>
      </c>
      <c r="AJ125" s="2">
        <f>IF(AI$4=$E125, $I125*AI$57,0) + IF(AI$4&gt;$E125,MIN(AI125,$I125-SUM($J125:AI125)))</f>
        <v>10.168193184860517</v>
      </c>
      <c r="AK125" s="2">
        <f>IF(AJ$4=$E125, $I125*AJ$57,0) + IF(AJ$4&gt;$E125,MIN(AJ125,$I125-SUM($J125:AJ125)))</f>
        <v>10.168193184860517</v>
      </c>
      <c r="AL125" s="2">
        <f>IF(AK$4=$E125, $I125*AK$57,0) + IF(AK$4&gt;$E125,MIN(AK125,$I125-SUM($J125:AK125)))</f>
        <v>10.168193184860517</v>
      </c>
      <c r="AM125" s="2">
        <f>IF(AL$4=$E125, $I125*AL$57,0) + IF(AL$4&gt;$E125,MIN(AL125,$I125-SUM($J125:AL125)))</f>
        <v>10.168193184860517</v>
      </c>
      <c r="AN125" s="2">
        <f>IF(AM$4=$E125, $I125*AM$57,0) + IF(AM$4&gt;$E125,MIN(AM125,$I125-SUM($J125:AM125)))</f>
        <v>10.168193184860517</v>
      </c>
      <c r="AO125" s="2">
        <f>IF(AN$4=$E125, $I125*AN$57,0) + IF(AN$4&gt;$E125,MIN(AN125,$I125-SUM($J125:AN125)))</f>
        <v>10.168193184860517</v>
      </c>
      <c r="AP125" s="2">
        <f>IF(AO$4=$E125, $I125*AO$57,0) + IF(AO$4&gt;$E125,MIN(AO125,$I125-SUM($J125:AO125)))</f>
        <v>10.168193184860517</v>
      </c>
      <c r="AQ125" s="57">
        <f>IF(AP$4=$E125, $I125*AP$57,0) + IF(AP$4&gt;$E125,MIN(AP125,$I125-SUM($J125:AP125)))</f>
        <v>10.168193184860517</v>
      </c>
      <c r="AR125" s="2">
        <f>IF(AQ$4=$E125, $I125*AQ$57,0) + IF(AQ$4&gt;$E125,MIN(AQ125,$I125-SUM($J125:AQ125)))</f>
        <v>10.168193184860517</v>
      </c>
      <c r="AS125" s="2">
        <f>IF(AR$4=$E125, $I125*AR$57,0) + IF(AR$4&gt;$E125,MIN(AR125,$I125-SUM($J125:AR125)))</f>
        <v>10.168193184860517</v>
      </c>
      <c r="AT125" s="2">
        <f>IF(AS$4=$E125, $I125*AS$57,0) + IF(AS$4&gt;$E125,MIN(AS125,$I125-SUM($J125:AS125)))</f>
        <v>10.168193184860517</v>
      </c>
      <c r="AU125" s="2">
        <f>IF(AT$4=$E125, $I125*AT$57,0) + IF(AT$4&gt;$E125,MIN(AT125,$I125-SUM($J125:AT125)))</f>
        <v>2.8421709430404007E-14</v>
      </c>
      <c r="AV125" s="2">
        <f>IF(AU$4=$E125, $I125*AU$57,0) + IF(AU$4&gt;$E125,MIN(AU125,$I125-SUM($J125:AU125)))</f>
        <v>0</v>
      </c>
      <c r="AW125" s="2"/>
    </row>
    <row r="126" spans="5:49" ht="15" outlineLevel="1">
      <c r="E126" s="44">
        <f>INDEX($K$4:$AV$4,,COUNT(E$109:E125)+1)</f>
        <v>39172</v>
      </c>
      <c r="G126" s="2" t="s">
        <v>105</v>
      </c>
      <c r="I126" s="2">
        <f t="shared" si="64"/>
        <v>128.05389332658407</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6.4026946663292037</v>
      </c>
      <c r="AC126" s="2">
        <f>IF(AB$4=$E126, $I126*AB$57,0) + IF(AB$4&gt;$E126,MIN(AB126,$I126-SUM($J126:AB126)))</f>
        <v>6.4026946663292037</v>
      </c>
      <c r="AD126" s="2">
        <f>IF(AC$4=$E126, $I126*AC$57,0) + IF(AC$4&gt;$E126,MIN(AC126,$I126-SUM($J126:AC126)))</f>
        <v>6.4026946663292037</v>
      </c>
      <c r="AE126" s="2">
        <f>IF(AD$4=$E126, $I126*AD$57,0) + IF(AD$4&gt;$E126,MIN(AD126,$I126-SUM($J126:AD126)))</f>
        <v>6.4026946663292037</v>
      </c>
      <c r="AF126" s="2">
        <f>IF(AE$4=$E126, $I126*AE$57,0) + IF(AE$4&gt;$E126,MIN(AE126,$I126-SUM($J126:AE126)))</f>
        <v>6.4026946663292037</v>
      </c>
      <c r="AG126" s="2">
        <f>IF(AF$4=$E126, $I126*AF$57,0) + IF(AF$4&gt;$E126,MIN(AF126,$I126-SUM($J126:AF126)))</f>
        <v>6.4026946663292037</v>
      </c>
      <c r="AH126" s="2">
        <f>IF(AG$4=$E126, $I126*AG$57,0) + IF(AG$4&gt;$E126,MIN(AG126,$I126-SUM($J126:AG126)))</f>
        <v>6.4026946663292037</v>
      </c>
      <c r="AI126" s="2">
        <f>IF(AH$4=$E126, $I126*AH$57,0) + IF(AH$4&gt;$E126,MIN(AH126,$I126-SUM($J126:AH126)))</f>
        <v>6.4026946663292037</v>
      </c>
      <c r="AJ126" s="2">
        <f>IF(AI$4=$E126, $I126*AI$57,0) + IF(AI$4&gt;$E126,MIN(AI126,$I126-SUM($J126:AI126)))</f>
        <v>6.4026946663292037</v>
      </c>
      <c r="AK126" s="2">
        <f>IF(AJ$4=$E126, $I126*AJ$57,0) + IF(AJ$4&gt;$E126,MIN(AJ126,$I126-SUM($J126:AJ126)))</f>
        <v>6.4026946663292037</v>
      </c>
      <c r="AL126" s="2">
        <f>IF(AK$4=$E126, $I126*AK$57,0) + IF(AK$4&gt;$E126,MIN(AK126,$I126-SUM($J126:AK126)))</f>
        <v>6.4026946663292037</v>
      </c>
      <c r="AM126" s="2">
        <f>IF(AL$4=$E126, $I126*AL$57,0) + IF(AL$4&gt;$E126,MIN(AL126,$I126-SUM($J126:AL126)))</f>
        <v>6.4026946663292037</v>
      </c>
      <c r="AN126" s="2">
        <f>IF(AM$4=$E126, $I126*AM$57,0) + IF(AM$4&gt;$E126,MIN(AM126,$I126-SUM($J126:AM126)))</f>
        <v>6.4026946663292037</v>
      </c>
      <c r="AO126" s="2">
        <f>IF(AN$4=$E126, $I126*AN$57,0) + IF(AN$4&gt;$E126,MIN(AN126,$I126-SUM($J126:AN126)))</f>
        <v>6.4026946663292037</v>
      </c>
      <c r="AP126" s="2">
        <f>IF(AO$4=$E126, $I126*AO$57,0) + IF(AO$4&gt;$E126,MIN(AO126,$I126-SUM($J126:AO126)))</f>
        <v>6.4026946663292037</v>
      </c>
      <c r="AQ126" s="57">
        <f>IF(AP$4=$E126, $I126*AP$57,0) + IF(AP$4&gt;$E126,MIN(AP126,$I126-SUM($J126:AP126)))</f>
        <v>6.4026946663292037</v>
      </c>
      <c r="AR126" s="2">
        <f>IF(AQ$4=$E126, $I126*AQ$57,0) + IF(AQ$4&gt;$E126,MIN(AQ126,$I126-SUM($J126:AQ126)))</f>
        <v>6.4026946663292037</v>
      </c>
      <c r="AS126" s="2">
        <f>IF(AR$4=$E126, $I126*AR$57,0) + IF(AR$4&gt;$E126,MIN(AR126,$I126-SUM($J126:AR126)))</f>
        <v>6.4026946663292037</v>
      </c>
      <c r="AT126" s="2">
        <f>IF(AS$4=$E126, $I126*AS$57,0) + IF(AS$4&gt;$E126,MIN(AS126,$I126-SUM($J126:AS126)))</f>
        <v>6.4026946663292037</v>
      </c>
      <c r="AU126" s="2">
        <f>IF(AT$4=$E126, $I126*AT$57,0) + IF(AT$4&gt;$E126,MIN(AT126,$I126-SUM($J126:AT126)))</f>
        <v>6.402694666329154</v>
      </c>
      <c r="AV126" s="2">
        <f>IF(AU$4=$E126, $I126*AU$57,0) + IF(AU$4&gt;$E126,MIN(AU126,$I126-SUM($J126:AU126)))</f>
        <v>0</v>
      </c>
      <c r="AW126" s="2"/>
    </row>
    <row r="127" spans="5:49" ht="15" outlineLevel="1">
      <c r="E127" s="44">
        <f>INDEX($K$4:$AV$4,,COUNT(E$109:E126)+1)</f>
        <v>39538</v>
      </c>
      <c r="G127" s="2" t="s">
        <v>105</v>
      </c>
      <c r="I127" s="2">
        <f t="shared" si="64"/>
        <v>157.80709395436162</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7.890354697718081</v>
      </c>
      <c r="AD127" s="2">
        <f>IF(AC$4=$E127, $I127*AC$57,0) + IF(AC$4&gt;$E127,MIN(AC127,$I127-SUM($J127:AC127)))</f>
        <v>7.890354697718081</v>
      </c>
      <c r="AE127" s="2">
        <f>IF(AD$4=$E127, $I127*AD$57,0) + IF(AD$4&gt;$E127,MIN(AD127,$I127-SUM($J127:AD127)))</f>
        <v>7.890354697718081</v>
      </c>
      <c r="AF127" s="2">
        <f>IF(AE$4=$E127, $I127*AE$57,0) + IF(AE$4&gt;$E127,MIN(AE127,$I127-SUM($J127:AE127)))</f>
        <v>7.890354697718081</v>
      </c>
      <c r="AG127" s="2">
        <f>IF(AF$4=$E127, $I127*AF$57,0) + IF(AF$4&gt;$E127,MIN(AF127,$I127-SUM($J127:AF127)))</f>
        <v>7.890354697718081</v>
      </c>
      <c r="AH127" s="2">
        <f>IF(AG$4=$E127, $I127*AG$57,0) + IF(AG$4&gt;$E127,MIN(AG127,$I127-SUM($J127:AG127)))</f>
        <v>7.890354697718081</v>
      </c>
      <c r="AI127" s="2">
        <f>IF(AH$4=$E127, $I127*AH$57,0) + IF(AH$4&gt;$E127,MIN(AH127,$I127-SUM($J127:AH127)))</f>
        <v>7.890354697718081</v>
      </c>
      <c r="AJ127" s="2">
        <f>IF(AI$4=$E127, $I127*AI$57,0) + IF(AI$4&gt;$E127,MIN(AI127,$I127-SUM($J127:AI127)))</f>
        <v>7.890354697718081</v>
      </c>
      <c r="AK127" s="2">
        <f>IF(AJ$4=$E127, $I127*AJ$57,0) + IF(AJ$4&gt;$E127,MIN(AJ127,$I127-SUM($J127:AJ127)))</f>
        <v>7.890354697718081</v>
      </c>
      <c r="AL127" s="2">
        <f>IF(AK$4=$E127, $I127*AK$57,0) + IF(AK$4&gt;$E127,MIN(AK127,$I127-SUM($J127:AK127)))</f>
        <v>7.890354697718081</v>
      </c>
      <c r="AM127" s="2">
        <f>IF(AL$4=$E127, $I127*AL$57,0) + IF(AL$4&gt;$E127,MIN(AL127,$I127-SUM($J127:AL127)))</f>
        <v>7.890354697718081</v>
      </c>
      <c r="AN127" s="2">
        <f>IF(AM$4=$E127, $I127*AM$57,0) + IF(AM$4&gt;$E127,MIN(AM127,$I127-SUM($J127:AM127)))</f>
        <v>7.890354697718081</v>
      </c>
      <c r="AO127" s="2">
        <f>IF(AN$4=$E127, $I127*AN$57,0) + IF(AN$4&gt;$E127,MIN(AN127,$I127-SUM($J127:AN127)))</f>
        <v>7.890354697718081</v>
      </c>
      <c r="AP127" s="2">
        <f>IF(AO$4=$E127, $I127*AO$57,0) + IF(AO$4&gt;$E127,MIN(AO127,$I127-SUM($J127:AO127)))</f>
        <v>7.890354697718081</v>
      </c>
      <c r="AQ127" s="57">
        <f>IF(AP$4=$E127, $I127*AP$57,0) + IF(AP$4&gt;$E127,MIN(AP127,$I127-SUM($J127:AP127)))</f>
        <v>7.890354697718081</v>
      </c>
      <c r="AR127" s="2">
        <f>IF(AQ$4=$E127, $I127*AQ$57,0) + IF(AQ$4&gt;$E127,MIN(AQ127,$I127-SUM($J127:AQ127)))</f>
        <v>7.890354697718081</v>
      </c>
      <c r="AS127" s="2">
        <f>IF(AR$4=$E127, $I127*AR$57,0) + IF(AR$4&gt;$E127,MIN(AR127,$I127-SUM($J127:AR127)))</f>
        <v>7.890354697718081</v>
      </c>
      <c r="AT127" s="2">
        <f>IF(AS$4=$E127, $I127*AS$57,0) + IF(AS$4&gt;$E127,MIN(AS127,$I127-SUM($J127:AS127)))</f>
        <v>7.890354697718081</v>
      </c>
      <c r="AU127" s="2">
        <f>IF(AT$4=$E127, $I127*AT$57,0) + IF(AT$4&gt;$E127,MIN(AT127,$I127-SUM($J127:AT127)))</f>
        <v>7.890354697718081</v>
      </c>
      <c r="AV127" s="2">
        <f>IF(AU$4=$E127, $I127*AU$57,0) + IF(AU$4&gt;$E127,MIN(AU127,$I127-SUM($J127:AU127)))</f>
        <v>7.890354697718081</v>
      </c>
      <c r="AW127" s="2"/>
    </row>
    <row r="128" spans="5:49" ht="15" outlineLevel="1">
      <c r="E128" s="44">
        <f>INDEX($K$4:$AV$4,,COUNT(E$109:E127)+1)</f>
        <v>39903</v>
      </c>
      <c r="G128" s="2" t="s">
        <v>105</v>
      </c>
      <c r="I128" s="2">
        <f t="shared" si="64"/>
        <v>173.39101420035695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8.6695507100178482</v>
      </c>
      <c r="AE128" s="2">
        <f>IF(AD$4=$E128, $I128*AD$57,0) + IF(AD$4&gt;$E128,MIN(AD128,$I128-SUM($J128:AD128)))</f>
        <v>8.6695507100178482</v>
      </c>
      <c r="AF128" s="2">
        <f>IF(AE$4=$E128, $I128*AE$57,0) + IF(AE$4&gt;$E128,MIN(AE128,$I128-SUM($J128:AE128)))</f>
        <v>8.6695507100178482</v>
      </c>
      <c r="AG128" s="2">
        <f>IF(AF$4=$E128, $I128*AF$57,0) + IF(AF$4&gt;$E128,MIN(AF128,$I128-SUM($J128:AF128)))</f>
        <v>8.6695507100178482</v>
      </c>
      <c r="AH128" s="2">
        <f>IF(AG$4=$E128, $I128*AG$57,0) + IF(AG$4&gt;$E128,MIN(AG128,$I128-SUM($J128:AG128)))</f>
        <v>8.6695507100178482</v>
      </c>
      <c r="AI128" s="2">
        <f>IF(AH$4=$E128, $I128*AH$57,0) + IF(AH$4&gt;$E128,MIN(AH128,$I128-SUM($J128:AH128)))</f>
        <v>8.6695507100178482</v>
      </c>
      <c r="AJ128" s="2">
        <f>IF(AI$4=$E128, $I128*AI$57,0) + IF(AI$4&gt;$E128,MIN(AI128,$I128-SUM($J128:AI128)))</f>
        <v>8.6695507100178482</v>
      </c>
      <c r="AK128" s="2">
        <f>IF(AJ$4=$E128, $I128*AJ$57,0) + IF(AJ$4&gt;$E128,MIN(AJ128,$I128-SUM($J128:AJ128)))</f>
        <v>8.6695507100178482</v>
      </c>
      <c r="AL128" s="2">
        <f>IF(AK$4=$E128, $I128*AK$57,0) + IF(AK$4&gt;$E128,MIN(AK128,$I128-SUM($J128:AK128)))</f>
        <v>8.6695507100178482</v>
      </c>
      <c r="AM128" s="2">
        <f>IF(AL$4=$E128, $I128*AL$57,0) + IF(AL$4&gt;$E128,MIN(AL128,$I128-SUM($J128:AL128)))</f>
        <v>8.6695507100178482</v>
      </c>
      <c r="AN128" s="2">
        <f>IF(AM$4=$E128, $I128*AM$57,0) + IF(AM$4&gt;$E128,MIN(AM128,$I128-SUM($J128:AM128)))</f>
        <v>8.6695507100178482</v>
      </c>
      <c r="AO128" s="2">
        <f>IF(AN$4=$E128, $I128*AN$57,0) + IF(AN$4&gt;$E128,MIN(AN128,$I128-SUM($J128:AN128)))</f>
        <v>8.6695507100178482</v>
      </c>
      <c r="AP128" s="2">
        <f>IF(AO$4=$E128, $I128*AO$57,0) + IF(AO$4&gt;$E128,MIN(AO128,$I128-SUM($J128:AO128)))</f>
        <v>8.6695507100178482</v>
      </c>
      <c r="AQ128" s="57">
        <f>IF(AP$4=$E128, $I128*AP$57,0) + IF(AP$4&gt;$E128,MIN(AP128,$I128-SUM($J128:AP128)))</f>
        <v>8.6695507100178482</v>
      </c>
      <c r="AR128" s="2">
        <f>IF(AQ$4=$E128, $I128*AQ$57,0) + IF(AQ$4&gt;$E128,MIN(AQ128,$I128-SUM($J128:AQ128)))</f>
        <v>8.6695507100178482</v>
      </c>
      <c r="AS128" s="2">
        <f>IF(AR$4=$E128, $I128*AR$57,0) + IF(AR$4&gt;$E128,MIN(AR128,$I128-SUM($J128:AR128)))</f>
        <v>8.6695507100178482</v>
      </c>
      <c r="AT128" s="2">
        <f>IF(AS$4=$E128, $I128*AS$57,0) + IF(AS$4&gt;$E128,MIN(AS128,$I128-SUM($J128:AS128)))</f>
        <v>8.6695507100178482</v>
      </c>
      <c r="AU128" s="2">
        <f>IF(AT$4=$E128, $I128*AT$57,0) + IF(AT$4&gt;$E128,MIN(AT128,$I128-SUM($J128:AT128)))</f>
        <v>8.6695507100178482</v>
      </c>
      <c r="AV128" s="2">
        <f>IF(AU$4=$E128, $I128*AU$57,0) + IF(AU$4&gt;$E128,MIN(AU128,$I128-SUM($J128:AU128)))</f>
        <v>8.6695507100178482</v>
      </c>
      <c r="AW128" s="2"/>
    </row>
    <row r="129" spans="5:49" ht="15" outlineLevel="1">
      <c r="E129" s="44">
        <f>INDEX($K$4:$AV$4,,COUNT(E$109:E128)+1)</f>
        <v>40268</v>
      </c>
      <c r="G129" s="2" t="s">
        <v>105</v>
      </c>
      <c r="I129" s="2">
        <f t="shared" si="64"/>
        <v>158.41065966088121</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7.9205329830440609</v>
      </c>
      <c r="AF129" s="2">
        <f>IF(AE$4=$E129, $I129*AE$57,0) + IF(AE$4&gt;$E129,MIN(AE129,$I129-SUM($J129:AE129)))</f>
        <v>7.9205329830440609</v>
      </c>
      <c r="AG129" s="2">
        <f>IF(AF$4=$E129, $I129*AF$57,0) + IF(AF$4&gt;$E129,MIN(AF129,$I129-SUM($J129:AF129)))</f>
        <v>7.9205329830440609</v>
      </c>
      <c r="AH129" s="2">
        <f>IF(AG$4=$E129, $I129*AG$57,0) + IF(AG$4&gt;$E129,MIN(AG129,$I129-SUM($J129:AG129)))</f>
        <v>7.9205329830440609</v>
      </c>
      <c r="AI129" s="2">
        <f>IF(AH$4=$E129, $I129*AH$57,0) + IF(AH$4&gt;$E129,MIN(AH129,$I129-SUM($J129:AH129)))</f>
        <v>7.9205329830440609</v>
      </c>
      <c r="AJ129" s="2">
        <f>IF(AI$4=$E129, $I129*AI$57,0) + IF(AI$4&gt;$E129,MIN(AI129,$I129-SUM($J129:AI129)))</f>
        <v>7.9205329830440609</v>
      </c>
      <c r="AK129" s="2">
        <f>IF(AJ$4=$E129, $I129*AJ$57,0) + IF(AJ$4&gt;$E129,MIN(AJ129,$I129-SUM($J129:AJ129)))</f>
        <v>7.9205329830440609</v>
      </c>
      <c r="AL129" s="2">
        <f>IF(AK$4=$E129, $I129*AK$57,0) + IF(AK$4&gt;$E129,MIN(AK129,$I129-SUM($J129:AK129)))</f>
        <v>7.9205329830440609</v>
      </c>
      <c r="AM129" s="2">
        <f>IF(AL$4=$E129, $I129*AL$57,0) + IF(AL$4&gt;$E129,MIN(AL129,$I129-SUM($J129:AL129)))</f>
        <v>7.9205329830440609</v>
      </c>
      <c r="AN129" s="2">
        <f>IF(AM$4=$E129, $I129*AM$57,0) + IF(AM$4&gt;$E129,MIN(AM129,$I129-SUM($J129:AM129)))</f>
        <v>7.9205329830440609</v>
      </c>
      <c r="AO129" s="2">
        <f>IF(AN$4=$E129, $I129*AN$57,0) + IF(AN$4&gt;$E129,MIN(AN129,$I129-SUM($J129:AN129)))</f>
        <v>7.9205329830440609</v>
      </c>
      <c r="AP129" s="2">
        <f>IF(AO$4=$E129, $I129*AO$57,0) + IF(AO$4&gt;$E129,MIN(AO129,$I129-SUM($J129:AO129)))</f>
        <v>7.9205329830440609</v>
      </c>
      <c r="AQ129" s="57">
        <f>IF(AP$4=$E129, $I129*AP$57,0) + IF(AP$4&gt;$E129,MIN(AP129,$I129-SUM($J129:AP129)))</f>
        <v>7.9205329830440609</v>
      </c>
      <c r="AR129" s="2">
        <f>IF(AQ$4=$E129, $I129*AQ$57,0) + IF(AQ$4&gt;$E129,MIN(AQ129,$I129-SUM($J129:AQ129)))</f>
        <v>7.9205329830440609</v>
      </c>
      <c r="AS129" s="2">
        <f>IF(AR$4=$E129, $I129*AR$57,0) + IF(AR$4&gt;$E129,MIN(AR129,$I129-SUM($J129:AR129)))</f>
        <v>7.9205329830440609</v>
      </c>
      <c r="AT129" s="2">
        <f>IF(AS$4=$E129, $I129*AS$57,0) + IF(AS$4&gt;$E129,MIN(AS129,$I129-SUM($J129:AS129)))</f>
        <v>7.9205329830440609</v>
      </c>
      <c r="AU129" s="2">
        <f>IF(AT$4=$E129, $I129*AT$57,0) + IF(AT$4&gt;$E129,MIN(AT129,$I129-SUM($J129:AT129)))</f>
        <v>7.9205329830440609</v>
      </c>
      <c r="AV129" s="2">
        <f>IF(AU$4=$E129, $I129*AU$57,0) + IF(AU$4&gt;$E129,MIN(AU129,$I129-SUM($J129:AU129)))</f>
        <v>7.9205329830440609</v>
      </c>
      <c r="AW129" s="2"/>
    </row>
    <row r="130" spans="5:49" ht="15" outlineLevel="1">
      <c r="E130" s="44">
        <f>INDEX($K$4:$AV$4,,COUNT(E$109:E129)+1)</f>
        <v>40633</v>
      </c>
      <c r="G130" s="2" t="s">
        <v>105</v>
      </c>
      <c r="I130" s="2">
        <f t="shared" si="64"/>
        <v>153.73959941493774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7.6869799707468873</v>
      </c>
      <c r="AG130" s="2">
        <f>IF(AF$4=$E130, $I130*AF$57,0) + IF(AF$4&gt;$E130,MIN(AF130,$I130-SUM($J130:AF130)))</f>
        <v>7.6869799707468873</v>
      </c>
      <c r="AH130" s="2">
        <f>IF(AG$4=$E130, $I130*AG$57,0) + IF(AG$4&gt;$E130,MIN(AG130,$I130-SUM($J130:AG130)))</f>
        <v>7.6869799707468873</v>
      </c>
      <c r="AI130" s="2">
        <f>IF(AH$4=$E130, $I130*AH$57,0) + IF(AH$4&gt;$E130,MIN(AH130,$I130-SUM($J130:AH130)))</f>
        <v>7.6869799707468873</v>
      </c>
      <c r="AJ130" s="2">
        <f>IF(AI$4=$E130, $I130*AI$57,0) + IF(AI$4&gt;$E130,MIN(AI130,$I130-SUM($J130:AI130)))</f>
        <v>7.6869799707468873</v>
      </c>
      <c r="AK130" s="2">
        <f>IF(AJ$4=$E130, $I130*AJ$57,0) + IF(AJ$4&gt;$E130,MIN(AJ130,$I130-SUM($J130:AJ130)))</f>
        <v>7.6869799707468873</v>
      </c>
      <c r="AL130" s="2">
        <f>IF(AK$4=$E130, $I130*AK$57,0) + IF(AK$4&gt;$E130,MIN(AK130,$I130-SUM($J130:AK130)))</f>
        <v>7.6869799707468873</v>
      </c>
      <c r="AM130" s="2">
        <f>IF(AL$4=$E130, $I130*AL$57,0) + IF(AL$4&gt;$E130,MIN(AL130,$I130-SUM($J130:AL130)))</f>
        <v>7.6869799707468873</v>
      </c>
      <c r="AN130" s="2">
        <f>IF(AM$4=$E130, $I130*AM$57,0) + IF(AM$4&gt;$E130,MIN(AM130,$I130-SUM($J130:AM130)))</f>
        <v>7.6869799707468873</v>
      </c>
      <c r="AO130" s="2">
        <f>IF(AN$4=$E130, $I130*AN$57,0) + IF(AN$4&gt;$E130,MIN(AN130,$I130-SUM($J130:AN130)))</f>
        <v>7.6869799707468873</v>
      </c>
      <c r="AP130" s="2">
        <f>IF(AO$4=$E130, $I130*AO$57,0) + IF(AO$4&gt;$E130,MIN(AO130,$I130-SUM($J130:AO130)))</f>
        <v>7.6869799707468873</v>
      </c>
      <c r="AQ130" s="57">
        <f>IF(AP$4=$E130, $I130*AP$57,0) + IF(AP$4&gt;$E130,MIN(AP130,$I130-SUM($J130:AP130)))</f>
        <v>7.6869799707468873</v>
      </c>
      <c r="AR130" s="2">
        <f>IF(AQ$4=$E130, $I130*AQ$57,0) + IF(AQ$4&gt;$E130,MIN(AQ130,$I130-SUM($J130:AQ130)))</f>
        <v>7.6869799707468873</v>
      </c>
      <c r="AS130" s="2">
        <f>IF(AR$4=$E130, $I130*AR$57,0) + IF(AR$4&gt;$E130,MIN(AR130,$I130-SUM($J130:AR130)))</f>
        <v>7.6869799707468873</v>
      </c>
      <c r="AT130" s="2">
        <f>IF(AS$4=$E130, $I130*AS$57,0) + IF(AS$4&gt;$E130,MIN(AS130,$I130-SUM($J130:AS130)))</f>
        <v>7.6869799707468873</v>
      </c>
      <c r="AU130" s="2">
        <f>IF(AT$4=$E130, $I130*AT$57,0) + IF(AT$4&gt;$E130,MIN(AT130,$I130-SUM($J130:AT130)))</f>
        <v>7.6869799707468873</v>
      </c>
      <c r="AV130" s="2">
        <f>IF(AU$4=$E130, $I130*AU$57,0) + IF(AU$4&gt;$E130,MIN(AU130,$I130-SUM($J130:AU130)))</f>
        <v>7.6869799707468873</v>
      </c>
      <c r="AW130" s="2"/>
    </row>
    <row r="131" spans="5:49" ht="15" outlineLevel="1">
      <c r="E131" s="44">
        <f>INDEX($K$4:$AV$4,,COUNT(E$109:E130)+1)</f>
        <v>40999</v>
      </c>
      <c r="G131" s="2" t="s">
        <v>105</v>
      </c>
      <c r="I131" s="2">
        <f t="shared" si="64"/>
        <v>189.52738762176125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9.4763693810880625</v>
      </c>
      <c r="AH131" s="2">
        <f>IF(AG$4=$E131, $I131*AG$57,0) + IF(AG$4&gt;$E131,MIN(AG131,$I131-SUM($J131:AG131)))</f>
        <v>9.4763693810880625</v>
      </c>
      <c r="AI131" s="2">
        <f>IF(AH$4=$E131, $I131*AH$57,0) + IF(AH$4&gt;$E131,MIN(AH131,$I131-SUM($J131:AH131)))</f>
        <v>9.4763693810880625</v>
      </c>
      <c r="AJ131" s="2">
        <f>IF(AI$4=$E131, $I131*AI$57,0) + IF(AI$4&gt;$E131,MIN(AI131,$I131-SUM($J131:AI131)))</f>
        <v>9.4763693810880625</v>
      </c>
      <c r="AK131" s="2">
        <f>IF(AJ$4=$E131, $I131*AJ$57,0) + IF(AJ$4&gt;$E131,MIN(AJ131,$I131-SUM($J131:AJ131)))</f>
        <v>9.4763693810880625</v>
      </c>
      <c r="AL131" s="2">
        <f>IF(AK$4=$E131, $I131*AK$57,0) + IF(AK$4&gt;$E131,MIN(AK131,$I131-SUM($J131:AK131)))</f>
        <v>9.4763693810880625</v>
      </c>
      <c r="AM131" s="2">
        <f>IF(AL$4=$E131, $I131*AL$57,0) + IF(AL$4&gt;$E131,MIN(AL131,$I131-SUM($J131:AL131)))</f>
        <v>9.4763693810880625</v>
      </c>
      <c r="AN131" s="2">
        <f>IF(AM$4=$E131, $I131*AM$57,0) + IF(AM$4&gt;$E131,MIN(AM131,$I131-SUM($J131:AM131)))</f>
        <v>9.4763693810880625</v>
      </c>
      <c r="AO131" s="2">
        <f>IF(AN$4=$E131, $I131*AN$57,0) + IF(AN$4&gt;$E131,MIN(AN131,$I131-SUM($J131:AN131)))</f>
        <v>9.4763693810880625</v>
      </c>
      <c r="AP131" s="2">
        <f>IF(AO$4=$E131, $I131*AO$57,0) + IF(AO$4&gt;$E131,MIN(AO131,$I131-SUM($J131:AO131)))</f>
        <v>9.4763693810880625</v>
      </c>
      <c r="AQ131" s="57">
        <f>IF(AP$4=$E131, $I131*AP$57,0) + IF(AP$4&gt;$E131,MIN(AP131,$I131-SUM($J131:AP131)))</f>
        <v>9.4763693810880625</v>
      </c>
      <c r="AR131" s="2">
        <f>IF(AQ$4=$E131, $I131*AQ$57,0) + IF(AQ$4&gt;$E131,MIN(AQ131,$I131-SUM($J131:AQ131)))</f>
        <v>9.4763693810880625</v>
      </c>
      <c r="AS131" s="2">
        <f>IF(AR$4=$E131, $I131*AR$57,0) + IF(AR$4&gt;$E131,MIN(AR131,$I131-SUM($J131:AR131)))</f>
        <v>9.4763693810880625</v>
      </c>
      <c r="AT131" s="2">
        <f>IF(AS$4=$E131, $I131*AS$57,0) + IF(AS$4&gt;$E131,MIN(AS131,$I131-SUM($J131:AS131)))</f>
        <v>9.4763693810880625</v>
      </c>
      <c r="AU131" s="2">
        <f>IF(AT$4=$E131, $I131*AT$57,0) + IF(AT$4&gt;$E131,MIN(AT131,$I131-SUM($J131:AT131)))</f>
        <v>9.4763693810880625</v>
      </c>
      <c r="AV131" s="2">
        <f>IF(AU$4=$E131, $I131*AU$57,0) + IF(AU$4&gt;$E131,MIN(AU131,$I131-SUM($J131:AU131)))</f>
        <v>9.4763693810880625</v>
      </c>
      <c r="AW131" s="2"/>
    </row>
    <row r="132" spans="5:49" ht="15" outlineLevel="1">
      <c r="E132" s="44">
        <f>INDEX($K$4:$AV$4,,COUNT(E$109:E131)+1)</f>
        <v>41364</v>
      </c>
      <c r="G132" s="2" t="s">
        <v>105</v>
      </c>
      <c r="I132" s="2">
        <f t="shared" si="64"/>
        <v>198.81414272608728</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9.9407071363043649</v>
      </c>
      <c r="AI132" s="2">
        <f>IF(AH$4=$E132, $I132*AH$57,0) + IF(AH$4&gt;$E132,MIN(AH132,$I132-SUM($J132:AH132)))</f>
        <v>9.9407071363043649</v>
      </c>
      <c r="AJ132" s="2">
        <f>IF(AI$4=$E132, $I132*AI$57,0) + IF(AI$4&gt;$E132,MIN(AI132,$I132-SUM($J132:AI132)))</f>
        <v>9.9407071363043649</v>
      </c>
      <c r="AK132" s="2">
        <f>IF(AJ$4=$E132, $I132*AJ$57,0) + IF(AJ$4&gt;$E132,MIN(AJ132,$I132-SUM($J132:AJ132)))</f>
        <v>9.9407071363043649</v>
      </c>
      <c r="AL132" s="2">
        <f>IF(AK$4=$E132, $I132*AK$57,0) + IF(AK$4&gt;$E132,MIN(AK132,$I132-SUM($J132:AK132)))</f>
        <v>9.9407071363043649</v>
      </c>
      <c r="AM132" s="2">
        <f>IF(AL$4=$E132, $I132*AL$57,0) + IF(AL$4&gt;$E132,MIN(AL132,$I132-SUM($J132:AL132)))</f>
        <v>9.9407071363043649</v>
      </c>
      <c r="AN132" s="2">
        <f>IF(AM$4=$E132, $I132*AM$57,0) + IF(AM$4&gt;$E132,MIN(AM132,$I132-SUM($J132:AM132)))</f>
        <v>9.9407071363043649</v>
      </c>
      <c r="AO132" s="2">
        <f>IF(AN$4=$E132, $I132*AN$57,0) + IF(AN$4&gt;$E132,MIN(AN132,$I132-SUM($J132:AN132)))</f>
        <v>9.9407071363043649</v>
      </c>
      <c r="AP132" s="2">
        <f>IF(AO$4=$E132, $I132*AO$57,0) + IF(AO$4&gt;$E132,MIN(AO132,$I132-SUM($J132:AO132)))</f>
        <v>9.9407071363043649</v>
      </c>
      <c r="AQ132" s="57">
        <f>IF(AP$4=$E132, $I132*AP$57,0) + IF(AP$4&gt;$E132,MIN(AP132,$I132-SUM($J132:AP132)))</f>
        <v>9.9407071363043649</v>
      </c>
      <c r="AR132" s="2">
        <f>IF(AQ$4=$E132, $I132*AQ$57,0) + IF(AQ$4&gt;$E132,MIN(AQ132,$I132-SUM($J132:AQ132)))</f>
        <v>9.9407071363043649</v>
      </c>
      <c r="AS132" s="2">
        <f>IF(AR$4=$E132, $I132*AR$57,0) + IF(AR$4&gt;$E132,MIN(AR132,$I132-SUM($J132:AR132)))</f>
        <v>9.9407071363043649</v>
      </c>
      <c r="AT132" s="2">
        <f>IF(AS$4=$E132, $I132*AS$57,0) + IF(AS$4&gt;$E132,MIN(AS132,$I132-SUM($J132:AS132)))</f>
        <v>9.9407071363043649</v>
      </c>
      <c r="AU132" s="2">
        <f>IF(AT$4=$E132, $I132*AT$57,0) + IF(AT$4&gt;$E132,MIN(AT132,$I132-SUM($J132:AT132)))</f>
        <v>9.9407071363043649</v>
      </c>
      <c r="AV132" s="2">
        <f>IF(AU$4=$E132, $I132*AU$57,0) + IF(AU$4&gt;$E132,MIN(AU132,$I132-SUM($J132:AU132)))</f>
        <v>9.9407071363043649</v>
      </c>
      <c r="AW132" s="2"/>
    </row>
    <row r="133" spans="5:49" ht="15" outlineLevel="1">
      <c r="E133" s="44">
        <f>INDEX($K$4:$AV$4,,COUNT(E$109:E132)+1)</f>
        <v>41729</v>
      </c>
      <c r="G133" s="2" t="s">
        <v>105</v>
      </c>
      <c r="I133" s="2">
        <f t="shared" si="64"/>
        <v>203.50779726060745</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10.175389863030373</v>
      </c>
      <c r="AJ133" s="2">
        <f>IF(AI$4=$E133, $I133*AI$57,0) + IF(AI$4&gt;$E133,MIN(AI133,$I133-SUM($J133:AI133)))</f>
        <v>10.175389863030373</v>
      </c>
      <c r="AK133" s="2">
        <f>IF(AJ$4=$E133, $I133*AJ$57,0) + IF(AJ$4&gt;$E133,MIN(AJ133,$I133-SUM($J133:AJ133)))</f>
        <v>10.175389863030373</v>
      </c>
      <c r="AL133" s="2">
        <f>IF(AK$4=$E133, $I133*AK$57,0) + IF(AK$4&gt;$E133,MIN(AK133,$I133-SUM($J133:AK133)))</f>
        <v>10.175389863030373</v>
      </c>
      <c r="AM133" s="2">
        <f>IF(AL$4=$E133, $I133*AL$57,0) + IF(AL$4&gt;$E133,MIN(AL133,$I133-SUM($J133:AL133)))</f>
        <v>10.175389863030373</v>
      </c>
      <c r="AN133" s="2">
        <f>IF(AM$4=$E133, $I133*AM$57,0) + IF(AM$4&gt;$E133,MIN(AM133,$I133-SUM($J133:AM133)))</f>
        <v>10.175389863030373</v>
      </c>
      <c r="AO133" s="2">
        <f>IF(AN$4=$E133, $I133*AN$57,0) + IF(AN$4&gt;$E133,MIN(AN133,$I133-SUM($J133:AN133)))</f>
        <v>10.175389863030373</v>
      </c>
      <c r="AP133" s="2">
        <f>IF(AO$4=$E133, $I133*AO$57,0) + IF(AO$4&gt;$E133,MIN(AO133,$I133-SUM($J133:AO133)))</f>
        <v>10.175389863030373</v>
      </c>
      <c r="AQ133" s="57">
        <f>IF(AP$4=$E133, $I133*AP$57,0) + IF(AP$4&gt;$E133,MIN(AP133,$I133-SUM($J133:AP133)))</f>
        <v>10.175389863030373</v>
      </c>
      <c r="AR133" s="2">
        <f>IF(AQ$4=$E133, $I133*AQ$57,0) + IF(AQ$4&gt;$E133,MIN(AQ133,$I133-SUM($J133:AQ133)))</f>
        <v>10.175389863030373</v>
      </c>
      <c r="AS133" s="2">
        <f>IF(AR$4=$E133, $I133*AR$57,0) + IF(AR$4&gt;$E133,MIN(AR133,$I133-SUM($J133:AR133)))</f>
        <v>10.175389863030373</v>
      </c>
      <c r="AT133" s="2">
        <f>IF(AS$4=$E133, $I133*AS$57,0) + IF(AS$4&gt;$E133,MIN(AS133,$I133-SUM($J133:AS133)))</f>
        <v>10.175389863030373</v>
      </c>
      <c r="AU133" s="2">
        <f>IF(AT$4=$E133, $I133*AT$57,0) + IF(AT$4&gt;$E133,MIN(AT133,$I133-SUM($J133:AT133)))</f>
        <v>10.175389863030373</v>
      </c>
      <c r="AV133" s="2">
        <f>IF(AU$4=$E133, $I133*AU$57,0) + IF(AU$4&gt;$E133,MIN(AU133,$I133-SUM($J133:AU133)))</f>
        <v>10.175389863030373</v>
      </c>
      <c r="AW133" s="2"/>
    </row>
    <row r="134" spans="5:49" ht="15" outlineLevel="1">
      <c r="E134" s="44">
        <f>INDEX($K$4:$AV$4,,COUNT(E$109:E133)+1)</f>
        <v>42094</v>
      </c>
      <c r="G134" s="2" t="s">
        <v>105</v>
      </c>
      <c r="I134" s="2">
        <f t="shared" si="64"/>
        <v>221.25861676212187</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11.062930838106094</v>
      </c>
      <c r="AK134" s="2">
        <f>IF(AJ$4=$E134, $I134*AJ$57,0) + IF(AJ$4&gt;$E134,MIN(AJ134,$I134-SUM($J134:AJ134)))</f>
        <v>11.062930838106094</v>
      </c>
      <c r="AL134" s="2">
        <f>IF(AK$4=$E134, $I134*AK$57,0) + IF(AK$4&gt;$E134,MIN(AK134,$I134-SUM($J134:AK134)))</f>
        <v>11.062930838106094</v>
      </c>
      <c r="AM134" s="2">
        <f>IF(AL$4=$E134, $I134*AL$57,0) + IF(AL$4&gt;$E134,MIN(AL134,$I134-SUM($J134:AL134)))</f>
        <v>11.062930838106094</v>
      </c>
      <c r="AN134" s="2">
        <f>IF(AM$4=$E134, $I134*AM$57,0) + IF(AM$4&gt;$E134,MIN(AM134,$I134-SUM($J134:AM134)))</f>
        <v>11.062930838106094</v>
      </c>
      <c r="AO134" s="2">
        <f>IF(AN$4=$E134, $I134*AN$57,0) + IF(AN$4&gt;$E134,MIN(AN134,$I134-SUM($J134:AN134)))</f>
        <v>11.062930838106094</v>
      </c>
      <c r="AP134" s="2">
        <f>IF(AO$4=$E134, $I134*AO$57,0) + IF(AO$4&gt;$E134,MIN(AO134,$I134-SUM($J134:AO134)))</f>
        <v>11.062930838106094</v>
      </c>
      <c r="AQ134" s="57">
        <f>IF(AP$4=$E134, $I134*AP$57,0) + IF(AP$4&gt;$E134,MIN(AP134,$I134-SUM($J134:AP134)))</f>
        <v>11.062930838106094</v>
      </c>
      <c r="AR134" s="2">
        <f>IF(AQ$4=$E134, $I134*AQ$57,0) + IF(AQ$4&gt;$E134,MIN(AQ134,$I134-SUM($J134:AQ134)))</f>
        <v>11.062930838106094</v>
      </c>
      <c r="AS134" s="2">
        <f>IF(AR$4=$E134, $I134*AR$57,0) + IF(AR$4&gt;$E134,MIN(AR134,$I134-SUM($J134:AR134)))</f>
        <v>11.062930838106094</v>
      </c>
      <c r="AT134" s="2">
        <f>IF(AS$4=$E134, $I134*AS$57,0) + IF(AS$4&gt;$E134,MIN(AS134,$I134-SUM($J134:AS134)))</f>
        <v>11.062930838106094</v>
      </c>
      <c r="AU134" s="2">
        <f>IF(AT$4=$E134, $I134*AT$57,0) + IF(AT$4&gt;$E134,MIN(AT134,$I134-SUM($J134:AT134)))</f>
        <v>11.062930838106094</v>
      </c>
      <c r="AV134" s="2">
        <f>IF(AU$4=$E134, $I134*AU$57,0) + IF(AU$4&gt;$E134,MIN(AU134,$I134-SUM($J134:AU134)))</f>
        <v>11.062930838106094</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900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901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902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0</v>
      </c>
      <c r="X152" s="2">
        <f t="shared" si="65"/>
        <v>0</v>
      </c>
      <c r="Y152" s="2">
        <f t="shared" si="65"/>
        <v>0</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903</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904</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6.6666666666666666E-2</v>
      </c>
      <c r="X154" s="201">
        <f>(1-X152) * IF(COUNTIF($J154:W154,"&gt;"&amp;0)&lt;=$I153-1,1,0) * (1/$I153)</f>
        <v>6.6666666666666666E-2</v>
      </c>
      <c r="Y154" s="201">
        <f>(1-Y152) * IF(COUNTIF($J154:X154,"&gt;"&amp;0)&lt;=$I153-1,1,0) * (1/$I153)</f>
        <v>6.6666666666666666E-2</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0</v>
      </c>
      <c r="AM154" s="294">
        <f>(1-AM152) * IF(COUNTIF($J154:AL154,"&gt;"&amp;0)&lt;=$I153-1,1,0) * (1/$I153)</f>
        <v>0</v>
      </c>
      <c r="AN154" s="294">
        <f>(1-AN152) * IF(COUNTIF($J154:AM154,"&gt;"&amp;0)&lt;=$I153-1,1,0) * (1/$I153)</f>
        <v>0</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105</v>
      </c>
      <c r="I156" s="2">
        <f>SUMPRODUCT(K110:AV110,$K$152:$AV$152) - SUMPRODUCT(K66:AV66,$K$152:$AV$152)</f>
        <v>6.2662972044826493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0.41775314696550997</v>
      </c>
      <c r="X156" s="2">
        <f t="shared" si="68"/>
        <v>0.41775314696550997</v>
      </c>
      <c r="Y156" s="2">
        <f t="shared" si="68"/>
        <v>0.41775314696550997</v>
      </c>
      <c r="Z156" s="2">
        <f t="shared" si="68"/>
        <v>0.41775314696550997</v>
      </c>
      <c r="AA156" s="2">
        <f t="shared" si="68"/>
        <v>0.41775314696550997</v>
      </c>
      <c r="AB156" s="2">
        <f t="shared" si="68"/>
        <v>0.41775314696550997</v>
      </c>
      <c r="AC156" s="2">
        <f t="shared" si="68"/>
        <v>0.41775314696550997</v>
      </c>
      <c r="AD156" s="2">
        <f t="shared" si="68"/>
        <v>0.41775314696550997</v>
      </c>
      <c r="AE156" s="2">
        <f t="shared" si="68"/>
        <v>0.41775314696550997</v>
      </c>
      <c r="AF156" s="2">
        <f t="shared" si="68"/>
        <v>0.41775314696550997</v>
      </c>
      <c r="AG156" s="2">
        <f t="shared" si="68"/>
        <v>0.41775314696550997</v>
      </c>
      <c r="AH156" s="2">
        <f t="shared" si="68"/>
        <v>0.41775314696550997</v>
      </c>
      <c r="AI156" s="2">
        <f t="shared" si="68"/>
        <v>0.41775314696550997</v>
      </c>
      <c r="AJ156" s="2">
        <f t="shared" si="68"/>
        <v>0.41775314696550997</v>
      </c>
      <c r="AK156" s="2">
        <f t="shared" si="68"/>
        <v>0.41775314696550997</v>
      </c>
      <c r="AL156" s="2">
        <f t="shared" si="68"/>
        <v>0</v>
      </c>
      <c r="AM156" s="2">
        <f t="shared" si="68"/>
        <v>0</v>
      </c>
      <c r="AN156" s="2">
        <f t="shared" si="68"/>
        <v>0</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13.945655525914756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0.92971036839431698</v>
      </c>
      <c r="X157" s="2">
        <f t="shared" si="68"/>
        <v>0.92971036839431698</v>
      </c>
      <c r="Y157" s="2">
        <f t="shared" si="68"/>
        <v>0.92971036839431698</v>
      </c>
      <c r="Z157" s="2">
        <f t="shared" si="68"/>
        <v>0.92971036839431698</v>
      </c>
      <c r="AA157" s="2">
        <f t="shared" si="68"/>
        <v>0.92971036839431698</v>
      </c>
      <c r="AB157" s="2">
        <f t="shared" si="68"/>
        <v>0.92971036839431698</v>
      </c>
      <c r="AC157" s="2">
        <f t="shared" si="68"/>
        <v>0.92971036839431698</v>
      </c>
      <c r="AD157" s="2">
        <f t="shared" si="68"/>
        <v>0.92971036839431698</v>
      </c>
      <c r="AE157" s="2">
        <f t="shared" si="68"/>
        <v>0.92971036839431698</v>
      </c>
      <c r="AF157" s="2">
        <f t="shared" si="68"/>
        <v>0.92971036839431698</v>
      </c>
      <c r="AG157" s="2">
        <f t="shared" si="68"/>
        <v>0.92971036839431698</v>
      </c>
      <c r="AH157" s="2">
        <f t="shared" si="68"/>
        <v>0.92971036839431698</v>
      </c>
      <c r="AI157" s="2">
        <f t="shared" si="68"/>
        <v>0.92971036839431698</v>
      </c>
      <c r="AJ157" s="2">
        <f t="shared" si="68"/>
        <v>0.92971036839431698</v>
      </c>
      <c r="AK157" s="2">
        <f t="shared" si="68"/>
        <v>0.92971036839431698</v>
      </c>
      <c r="AL157" s="2">
        <f t="shared" si="68"/>
        <v>0</v>
      </c>
      <c r="AM157" s="2">
        <f t="shared" si="68"/>
        <v>0</v>
      </c>
      <c r="AN157" s="2">
        <f t="shared" si="68"/>
        <v>0</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25.967772358599881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1.7311848239066587</v>
      </c>
      <c r="X158" s="2">
        <f t="shared" si="68"/>
        <v>1.7311848239066587</v>
      </c>
      <c r="Y158" s="2">
        <f t="shared" si="68"/>
        <v>1.7311848239066587</v>
      </c>
      <c r="Z158" s="2">
        <f t="shared" si="68"/>
        <v>1.7311848239066587</v>
      </c>
      <c r="AA158" s="2">
        <f t="shared" si="68"/>
        <v>1.7311848239066587</v>
      </c>
      <c r="AB158" s="2">
        <f t="shared" si="68"/>
        <v>1.7311848239066587</v>
      </c>
      <c r="AC158" s="2">
        <f t="shared" si="68"/>
        <v>1.7311848239066587</v>
      </c>
      <c r="AD158" s="2">
        <f t="shared" si="68"/>
        <v>1.7311848239066587</v>
      </c>
      <c r="AE158" s="2">
        <f t="shared" si="68"/>
        <v>1.7311848239066587</v>
      </c>
      <c r="AF158" s="2">
        <f t="shared" si="68"/>
        <v>1.7311848239066587</v>
      </c>
      <c r="AG158" s="2">
        <f t="shared" si="68"/>
        <v>1.7311848239066587</v>
      </c>
      <c r="AH158" s="2">
        <f t="shared" si="68"/>
        <v>1.7311848239066587</v>
      </c>
      <c r="AI158" s="2">
        <f t="shared" si="68"/>
        <v>1.7311848239066587</v>
      </c>
      <c r="AJ158" s="2">
        <f t="shared" si="68"/>
        <v>1.7311848239066587</v>
      </c>
      <c r="AK158" s="2">
        <f t="shared" si="68"/>
        <v>1.7311848239066587</v>
      </c>
      <c r="AL158" s="2">
        <f t="shared" si="68"/>
        <v>0</v>
      </c>
      <c r="AM158" s="2">
        <f t="shared" si="68"/>
        <v>0</v>
      </c>
      <c r="AN158" s="2">
        <f t="shared" si="68"/>
        <v>0</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20.803810789852662</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1.3869207193235107</v>
      </c>
      <c r="X159" s="2">
        <f t="shared" si="68"/>
        <v>1.3869207193235107</v>
      </c>
      <c r="Y159" s="2">
        <f t="shared" si="68"/>
        <v>1.3869207193235107</v>
      </c>
      <c r="Z159" s="2">
        <f t="shared" si="68"/>
        <v>1.3869207193235107</v>
      </c>
      <c r="AA159" s="2">
        <f t="shared" si="68"/>
        <v>1.3869207193235107</v>
      </c>
      <c r="AB159" s="2">
        <f t="shared" si="68"/>
        <v>1.3869207193235107</v>
      </c>
      <c r="AC159" s="2">
        <f t="shared" si="68"/>
        <v>1.3869207193235107</v>
      </c>
      <c r="AD159" s="2">
        <f t="shared" si="68"/>
        <v>1.3869207193235107</v>
      </c>
      <c r="AE159" s="2">
        <f t="shared" si="68"/>
        <v>1.3869207193235107</v>
      </c>
      <c r="AF159" s="2">
        <f t="shared" si="68"/>
        <v>1.3869207193235107</v>
      </c>
      <c r="AG159" s="2">
        <f t="shared" si="68"/>
        <v>1.3869207193235107</v>
      </c>
      <c r="AH159" s="2">
        <f t="shared" si="68"/>
        <v>1.3869207193235107</v>
      </c>
      <c r="AI159" s="2">
        <f t="shared" si="68"/>
        <v>1.3869207193235107</v>
      </c>
      <c r="AJ159" s="2">
        <f t="shared" si="68"/>
        <v>1.3869207193235107</v>
      </c>
      <c r="AK159" s="2">
        <f t="shared" si="68"/>
        <v>1.3869207193235107</v>
      </c>
      <c r="AL159" s="2">
        <f t="shared" si="68"/>
        <v>0</v>
      </c>
      <c r="AM159" s="2">
        <f t="shared" si="68"/>
        <v>0</v>
      </c>
      <c r="AN159" s="2">
        <f t="shared" si="68"/>
        <v>0</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18.047971700514076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1.2031981133676051</v>
      </c>
      <c r="X160" s="2">
        <f t="shared" si="71"/>
        <v>1.2031981133676051</v>
      </c>
      <c r="Y160" s="2">
        <f t="shared" si="71"/>
        <v>1.2031981133676051</v>
      </c>
      <c r="Z160" s="2">
        <f t="shared" si="71"/>
        <v>1.2031981133676051</v>
      </c>
      <c r="AA160" s="2">
        <f t="shared" si="71"/>
        <v>1.2031981133676051</v>
      </c>
      <c r="AB160" s="2">
        <f t="shared" si="71"/>
        <v>1.2031981133676051</v>
      </c>
      <c r="AC160" s="2">
        <f t="shared" si="71"/>
        <v>1.2031981133676051</v>
      </c>
      <c r="AD160" s="2">
        <f t="shared" si="71"/>
        <v>1.2031981133676051</v>
      </c>
      <c r="AE160" s="2">
        <f t="shared" si="71"/>
        <v>1.2031981133676051</v>
      </c>
      <c r="AF160" s="2">
        <f t="shared" si="71"/>
        <v>1.2031981133676051</v>
      </c>
      <c r="AG160" s="2">
        <f t="shared" si="71"/>
        <v>1.2031981133676051</v>
      </c>
      <c r="AH160" s="2">
        <f t="shared" si="71"/>
        <v>1.2031981133676051</v>
      </c>
      <c r="AI160" s="2">
        <f t="shared" si="71"/>
        <v>1.2031981133676051</v>
      </c>
      <c r="AJ160" s="2">
        <f t="shared" si="71"/>
        <v>1.2031981133676051</v>
      </c>
      <c r="AK160" s="2">
        <f t="shared" si="71"/>
        <v>1.2031981133676051</v>
      </c>
      <c r="AL160" s="2">
        <f t="shared" si="71"/>
        <v>0</v>
      </c>
      <c r="AM160" s="2">
        <f t="shared" si="71"/>
        <v>0</v>
      </c>
      <c r="AN160" s="2">
        <f t="shared" si="71"/>
        <v>0</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15.846999541914805</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1.0564666361276536</v>
      </c>
      <c r="X161" s="2">
        <f t="shared" si="71"/>
        <v>1.0564666361276536</v>
      </c>
      <c r="Y161" s="2">
        <f t="shared" si="71"/>
        <v>1.0564666361276536</v>
      </c>
      <c r="Z161" s="2">
        <f t="shared" si="71"/>
        <v>1.0564666361276536</v>
      </c>
      <c r="AA161" s="2">
        <f t="shared" si="71"/>
        <v>1.0564666361276536</v>
      </c>
      <c r="AB161" s="2">
        <f t="shared" si="71"/>
        <v>1.0564666361276536</v>
      </c>
      <c r="AC161" s="2">
        <f t="shared" si="71"/>
        <v>1.0564666361276536</v>
      </c>
      <c r="AD161" s="2">
        <f t="shared" si="71"/>
        <v>1.0564666361276536</v>
      </c>
      <c r="AE161" s="2">
        <f t="shared" si="71"/>
        <v>1.0564666361276536</v>
      </c>
      <c r="AF161" s="2">
        <f t="shared" si="71"/>
        <v>1.0564666361276536</v>
      </c>
      <c r="AG161" s="2">
        <f t="shared" si="71"/>
        <v>1.0564666361276536</v>
      </c>
      <c r="AH161" s="2">
        <f t="shared" si="71"/>
        <v>1.0564666361276536</v>
      </c>
      <c r="AI161" s="2">
        <f t="shared" si="71"/>
        <v>1.0564666361276536</v>
      </c>
      <c r="AJ161" s="2">
        <f t="shared" si="71"/>
        <v>1.0564666361276536</v>
      </c>
      <c r="AK161" s="2">
        <f t="shared" si="71"/>
        <v>1.0564666361276536</v>
      </c>
      <c r="AL161" s="2">
        <f t="shared" si="71"/>
        <v>0</v>
      </c>
      <c r="AM161" s="2">
        <f t="shared" si="71"/>
        <v>0</v>
      </c>
      <c r="AN161" s="2">
        <f t="shared" si="71"/>
        <v>0</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13.797691011050926</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0.91984606740339503</v>
      </c>
      <c r="X162" s="2">
        <f t="shared" si="71"/>
        <v>0.91984606740339503</v>
      </c>
      <c r="Y162" s="2">
        <f t="shared" si="71"/>
        <v>0.91984606740339503</v>
      </c>
      <c r="Z162" s="2">
        <f t="shared" si="71"/>
        <v>0.91984606740339503</v>
      </c>
      <c r="AA162" s="2">
        <f t="shared" si="71"/>
        <v>0.91984606740339503</v>
      </c>
      <c r="AB162" s="2">
        <f t="shared" si="71"/>
        <v>0.91984606740339503</v>
      </c>
      <c r="AC162" s="2">
        <f t="shared" si="71"/>
        <v>0.91984606740339503</v>
      </c>
      <c r="AD162" s="2">
        <f t="shared" si="71"/>
        <v>0.91984606740339503</v>
      </c>
      <c r="AE162" s="2">
        <f t="shared" si="71"/>
        <v>0.91984606740339503</v>
      </c>
      <c r="AF162" s="2">
        <f t="shared" si="71"/>
        <v>0.91984606740339503</v>
      </c>
      <c r="AG162" s="2">
        <f t="shared" si="71"/>
        <v>0.91984606740339503</v>
      </c>
      <c r="AH162" s="2">
        <f t="shared" si="71"/>
        <v>0.91984606740339503</v>
      </c>
      <c r="AI162" s="2">
        <f t="shared" si="71"/>
        <v>0.91984606740339503</v>
      </c>
      <c r="AJ162" s="2">
        <f t="shared" si="71"/>
        <v>0.91984606740339503</v>
      </c>
      <c r="AK162" s="2">
        <f t="shared" si="71"/>
        <v>0.91984606740339503</v>
      </c>
      <c r="AL162" s="2">
        <f t="shared" si="71"/>
        <v>0</v>
      </c>
      <c r="AM162" s="2">
        <f t="shared" si="71"/>
        <v>0</v>
      </c>
      <c r="AN162" s="2">
        <f t="shared" si="71"/>
        <v>0</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13.449974401120961</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0.89666496007473073</v>
      </c>
      <c r="X163" s="2">
        <f t="shared" si="71"/>
        <v>0.89666496007473073</v>
      </c>
      <c r="Y163" s="2">
        <f t="shared" si="71"/>
        <v>0.89666496007473073</v>
      </c>
      <c r="Z163" s="2">
        <f t="shared" si="71"/>
        <v>0.89666496007473073</v>
      </c>
      <c r="AA163" s="2">
        <f t="shared" si="71"/>
        <v>0.89666496007473073</v>
      </c>
      <c r="AB163" s="2">
        <f t="shared" si="71"/>
        <v>0.89666496007473073</v>
      </c>
      <c r="AC163" s="2">
        <f t="shared" si="71"/>
        <v>0.89666496007473073</v>
      </c>
      <c r="AD163" s="2">
        <f t="shared" si="71"/>
        <v>0.89666496007473073</v>
      </c>
      <c r="AE163" s="2">
        <f t="shared" si="71"/>
        <v>0.89666496007473073</v>
      </c>
      <c r="AF163" s="2">
        <f t="shared" si="71"/>
        <v>0.89666496007473073</v>
      </c>
      <c r="AG163" s="2">
        <f t="shared" si="71"/>
        <v>0.89666496007473073</v>
      </c>
      <c r="AH163" s="2">
        <f t="shared" si="71"/>
        <v>0.89666496007473073</v>
      </c>
      <c r="AI163" s="2">
        <f t="shared" si="71"/>
        <v>0.89666496007473073</v>
      </c>
      <c r="AJ163" s="2">
        <f t="shared" si="71"/>
        <v>0.89666496007473073</v>
      </c>
      <c r="AK163" s="2">
        <f t="shared" si="71"/>
        <v>0.89666496007473073</v>
      </c>
      <c r="AL163" s="2">
        <f t="shared" si="71"/>
        <v>0</v>
      </c>
      <c r="AM163" s="2">
        <f t="shared" si="71"/>
        <v>0</v>
      </c>
      <c r="AN163" s="2">
        <f t="shared" si="71"/>
        <v>0</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10.801425421996978</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0.72009502813313186</v>
      </c>
      <c r="X164" s="2">
        <f t="shared" si="69"/>
        <v>0.72009502813313186</v>
      </c>
      <c r="Y164" s="2">
        <f t="shared" si="69"/>
        <v>0.72009502813313186</v>
      </c>
      <c r="Z164" s="2">
        <f t="shared" si="69"/>
        <v>0.72009502813313186</v>
      </c>
      <c r="AA164" s="2">
        <f t="shared" si="69"/>
        <v>0.72009502813313186</v>
      </c>
      <c r="AB164" s="2">
        <f t="shared" si="69"/>
        <v>0.72009502813313186</v>
      </c>
      <c r="AC164" s="2">
        <f t="shared" ref="AC164:AR180" si="72">AC$154 * $I164</f>
        <v>0.72009502813313186</v>
      </c>
      <c r="AD164" s="2">
        <f t="shared" si="72"/>
        <v>0.72009502813313186</v>
      </c>
      <c r="AE164" s="2">
        <f t="shared" si="72"/>
        <v>0.72009502813313186</v>
      </c>
      <c r="AF164" s="2">
        <f t="shared" si="72"/>
        <v>0.72009502813313186</v>
      </c>
      <c r="AG164" s="2">
        <f t="shared" si="72"/>
        <v>0.72009502813313186</v>
      </c>
      <c r="AH164" s="2">
        <f t="shared" si="72"/>
        <v>0.72009502813313186</v>
      </c>
      <c r="AI164" s="2">
        <f t="shared" si="72"/>
        <v>0.72009502813313186</v>
      </c>
      <c r="AJ164" s="2">
        <f t="shared" si="72"/>
        <v>0.72009502813313186</v>
      </c>
      <c r="AK164" s="2">
        <f t="shared" si="72"/>
        <v>0.72009502813313186</v>
      </c>
      <c r="AL164" s="2">
        <f t="shared" si="72"/>
        <v>0</v>
      </c>
      <c r="AM164" s="2">
        <f t="shared" si="72"/>
        <v>0</v>
      </c>
      <c r="AN164" s="2">
        <f t="shared" si="72"/>
        <v>0</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6.6185204791648129</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0.44123469861098752</v>
      </c>
      <c r="X165" s="2">
        <f t="shared" si="69"/>
        <v>0.44123469861098752</v>
      </c>
      <c r="Y165" s="2">
        <f t="shared" si="69"/>
        <v>0.44123469861098752</v>
      </c>
      <c r="Z165" s="2">
        <f t="shared" si="69"/>
        <v>0.44123469861098752</v>
      </c>
      <c r="AA165" s="2">
        <f t="shared" si="69"/>
        <v>0.44123469861098752</v>
      </c>
      <c r="AB165" s="2">
        <f t="shared" si="69"/>
        <v>0.44123469861098752</v>
      </c>
      <c r="AC165" s="2">
        <f t="shared" si="72"/>
        <v>0.44123469861098752</v>
      </c>
      <c r="AD165" s="2">
        <f t="shared" si="72"/>
        <v>0.44123469861098752</v>
      </c>
      <c r="AE165" s="2">
        <f t="shared" si="72"/>
        <v>0.44123469861098752</v>
      </c>
      <c r="AF165" s="2">
        <f t="shared" si="72"/>
        <v>0.44123469861098752</v>
      </c>
      <c r="AG165" s="2">
        <f t="shared" si="72"/>
        <v>0.44123469861098752</v>
      </c>
      <c r="AH165" s="2">
        <f t="shared" si="72"/>
        <v>0.44123469861098752</v>
      </c>
      <c r="AI165" s="2">
        <f t="shared" si="72"/>
        <v>0.44123469861098752</v>
      </c>
      <c r="AJ165" s="2">
        <f t="shared" si="72"/>
        <v>0.44123469861098752</v>
      </c>
      <c r="AK165" s="2">
        <f t="shared" si="72"/>
        <v>0.44123469861098752</v>
      </c>
      <c r="AL165" s="2">
        <f t="shared" si="72"/>
        <v>0</v>
      </c>
      <c r="AM165" s="2">
        <f t="shared" si="72"/>
        <v>0</v>
      </c>
      <c r="AN165" s="2">
        <f t="shared" si="72"/>
        <v>0</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2.8735269465398856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0.19156846310265904</v>
      </c>
      <c r="X166" s="2">
        <f t="shared" si="69"/>
        <v>0.19156846310265904</v>
      </c>
      <c r="Y166" s="2">
        <f t="shared" si="69"/>
        <v>0.19156846310265904</v>
      </c>
      <c r="Z166" s="2">
        <f t="shared" si="69"/>
        <v>0.19156846310265904</v>
      </c>
      <c r="AA166" s="2">
        <f t="shared" si="69"/>
        <v>0.19156846310265904</v>
      </c>
      <c r="AB166" s="2">
        <f t="shared" si="69"/>
        <v>0.19156846310265904</v>
      </c>
      <c r="AC166" s="2">
        <f t="shared" si="72"/>
        <v>0.19156846310265904</v>
      </c>
      <c r="AD166" s="2">
        <f t="shared" si="72"/>
        <v>0.19156846310265904</v>
      </c>
      <c r="AE166" s="2">
        <f t="shared" si="72"/>
        <v>0.19156846310265904</v>
      </c>
      <c r="AF166" s="2">
        <f t="shared" si="72"/>
        <v>0.19156846310265904</v>
      </c>
      <c r="AG166" s="2">
        <f t="shared" si="72"/>
        <v>0.19156846310265904</v>
      </c>
      <c r="AH166" s="2">
        <f t="shared" si="72"/>
        <v>0.19156846310265904</v>
      </c>
      <c r="AI166" s="2">
        <f t="shared" si="72"/>
        <v>0.19156846310265904</v>
      </c>
      <c r="AJ166" s="2">
        <f t="shared" si="72"/>
        <v>0.19156846310265904</v>
      </c>
      <c r="AK166" s="2">
        <f t="shared" si="72"/>
        <v>0.19156846310265904</v>
      </c>
      <c r="AL166" s="2">
        <f t="shared" si="72"/>
        <v>0</v>
      </c>
      <c r="AM166" s="2">
        <f t="shared" si="72"/>
        <v>0</v>
      </c>
      <c r="AN166" s="2">
        <f t="shared" si="72"/>
        <v>0</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0</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0</v>
      </c>
      <c r="AF167" s="2">
        <f t="shared" si="72"/>
        <v>0</v>
      </c>
      <c r="AG167" s="2">
        <f t="shared" si="72"/>
        <v>0</v>
      </c>
      <c r="AH167" s="2">
        <f t="shared" si="72"/>
        <v>0</v>
      </c>
      <c r="AI167" s="2">
        <f t="shared" si="72"/>
        <v>0</v>
      </c>
      <c r="AJ167" s="2">
        <f t="shared" si="72"/>
        <v>0</v>
      </c>
      <c r="AK167" s="2">
        <f t="shared" si="72"/>
        <v>0</v>
      </c>
      <c r="AL167" s="2">
        <f t="shared" si="72"/>
        <v>0</v>
      </c>
      <c r="AM167" s="2">
        <f t="shared" si="72"/>
        <v>0</v>
      </c>
      <c r="AN167" s="2">
        <f t="shared" si="72"/>
        <v>0</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0</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0</v>
      </c>
      <c r="AF168" s="2">
        <f t="shared" si="72"/>
        <v>0</v>
      </c>
      <c r="AG168" s="2">
        <f t="shared" si="72"/>
        <v>0</v>
      </c>
      <c r="AH168" s="2">
        <f t="shared" si="72"/>
        <v>0</v>
      </c>
      <c r="AI168" s="2">
        <f t="shared" si="72"/>
        <v>0</v>
      </c>
      <c r="AJ168" s="2">
        <f t="shared" si="72"/>
        <v>0</v>
      </c>
      <c r="AK168" s="2">
        <f t="shared" si="72"/>
        <v>0</v>
      </c>
      <c r="AL168" s="2">
        <f t="shared" si="72"/>
        <v>0</v>
      </c>
      <c r="AM168" s="2">
        <f t="shared" si="72"/>
        <v>0</v>
      </c>
      <c r="AN168" s="2">
        <f t="shared" si="72"/>
        <v>0</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0</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0</v>
      </c>
      <c r="AF169" s="2">
        <f t="shared" si="72"/>
        <v>0</v>
      </c>
      <c r="AG169" s="2">
        <f t="shared" si="72"/>
        <v>0</v>
      </c>
      <c r="AH169" s="2">
        <f t="shared" si="72"/>
        <v>0</v>
      </c>
      <c r="AI169" s="2">
        <f t="shared" si="72"/>
        <v>0</v>
      </c>
      <c r="AJ169" s="2">
        <f t="shared" si="72"/>
        <v>0</v>
      </c>
      <c r="AK169" s="2">
        <f t="shared" si="72"/>
        <v>0</v>
      </c>
      <c r="AL169" s="2">
        <f t="shared" si="72"/>
        <v>0</v>
      </c>
      <c r="AM169" s="2">
        <f t="shared" si="72"/>
        <v>0</v>
      </c>
      <c r="AN169" s="2">
        <f t="shared" si="72"/>
        <v>0</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905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906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907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908</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20</v>
      </c>
      <c r="X201" s="34">
        <f t="shared" si="83"/>
        <v>20</v>
      </c>
      <c r="Y201" s="34">
        <f t="shared" si="83"/>
        <v>20</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893</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0.05</v>
      </c>
      <c r="X202" s="142">
        <f t="shared" si="84"/>
        <v>0.05</v>
      </c>
      <c r="Y202" s="142">
        <f t="shared" si="84"/>
        <v>0.05</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909</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8.2904235884603903</v>
      </c>
      <c r="AL204" s="34">
        <f t="shared" si="85"/>
        <v>14.945498712965652</v>
      </c>
      <c r="AM204" s="34">
        <f t="shared" si="85"/>
        <v>21.289495808459602</v>
      </c>
      <c r="AN204" s="34">
        <f t="shared" si="85"/>
        <v>27.121487924654428</v>
      </c>
      <c r="AO204" s="34">
        <f t="shared" si="85"/>
        <v>32.252592752601331</v>
      </c>
      <c r="AP204" s="34">
        <f t="shared" si="85"/>
        <v>36.935640113720225</v>
      </c>
      <c r="AQ204" s="36">
        <f t="shared" si="85"/>
        <v>41.438735696739599</v>
      </c>
      <c r="AR204" s="34">
        <f t="shared" si="85"/>
        <v>45.554594727993035</v>
      </c>
      <c r="AS204" s="34">
        <f t="shared" si="85"/>
        <v>45.554594727993035</v>
      </c>
      <c r="AT204" s="34">
        <f t="shared" si="85"/>
        <v>45.554594727993035</v>
      </c>
      <c r="AU204" s="34">
        <f t="shared" si="85"/>
        <v>45.554594727993035</v>
      </c>
      <c r="AV204" s="34">
        <f t="shared" si="85"/>
        <v>45.554594727993035</v>
      </c>
    </row>
    <row r="205" spans="1:49">
      <c r="AQ205" s="220"/>
    </row>
    <row r="206" spans="1:49" ht="15">
      <c r="A206" s="2"/>
      <c r="B206" s="2"/>
      <c r="C206" s="20" t="s">
        <v>910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911</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8.2904235884603903</v>
      </c>
      <c r="AL208" s="2">
        <f t="shared" si="86"/>
        <v>14.945498712965652</v>
      </c>
      <c r="AM208" s="2">
        <f t="shared" si="86"/>
        <v>21.289495808459602</v>
      </c>
      <c r="AN208" s="2">
        <f t="shared" si="86"/>
        <v>27.121487924654428</v>
      </c>
      <c r="AO208" s="2">
        <f t="shared" si="86"/>
        <v>32.252592752601331</v>
      </c>
      <c r="AP208" s="2">
        <f t="shared" si="86"/>
        <v>36.935640113720225</v>
      </c>
      <c r="AQ208" s="57">
        <f t="shared" si="86"/>
        <v>41.438735696739599</v>
      </c>
      <c r="AR208" s="2">
        <f t="shared" si="86"/>
        <v>45.554594727993035</v>
      </c>
      <c r="AS208" s="2">
        <f t="shared" si="86"/>
        <v>45.554594727993035</v>
      </c>
      <c r="AT208" s="2">
        <f t="shared" si="86"/>
        <v>45.554594727993035</v>
      </c>
      <c r="AU208" s="2">
        <f t="shared" si="86"/>
        <v>45.554594727993035</v>
      </c>
      <c r="AV208" s="2">
        <f t="shared" si="86"/>
        <v>45.554594727993035</v>
      </c>
    </row>
    <row r="209" spans="5:49" outlineLevel="1">
      <c r="AQ209" s="220"/>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191.71604548314653</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8.2904235884603903</v>
      </c>
      <c r="AL235" s="2">
        <f>IF(AK$4=$E235, $I235*AK$202,0) + IF(AK$4&gt;$E235,MIN(AK235,$I235-SUM($J235:AK235)))</f>
        <v>8.2904235884603903</v>
      </c>
      <c r="AM235" s="2">
        <f>IF(AL$4=$E235, $I235*AL$202,0) + IF(AL$4&gt;$E235,MIN(AL235,$I235-SUM($J235:AL235)))</f>
        <v>8.2904235884603903</v>
      </c>
      <c r="AN235" s="2">
        <f>IF(AM$4=$E235, $I235*AM$202,0) + IF(AM$4&gt;$E235,MIN(AM235,$I235-SUM($J235:AM235)))</f>
        <v>8.2904235884603903</v>
      </c>
      <c r="AO235" s="2">
        <f>IF(AN$4=$E235, $I235*AN$202,0) + IF(AN$4&gt;$E235,MIN(AN235,$I235-SUM($J235:AN235)))</f>
        <v>8.2904235884603903</v>
      </c>
      <c r="AP235" s="2">
        <f>IF(AO$4=$E235, $I235*AO$202,0) + IF(AO$4&gt;$E235,MIN(AO235,$I235-SUM($J235:AO235)))</f>
        <v>8.2904235884603903</v>
      </c>
      <c r="AQ235" s="57">
        <f>IF(AP$4=$E235, $I235*AP$202,0) + IF(AP$4&gt;$E235,MIN(AP235,$I235-SUM($J235:AP235)))</f>
        <v>8.2904235884603903</v>
      </c>
      <c r="AR235" s="2">
        <f>IF(AQ$4=$E235, $I235*AQ$202,0) + IF(AQ$4&gt;$E235,MIN(AQ235,$I235-SUM($J235:AQ235)))</f>
        <v>8.2904235884603903</v>
      </c>
      <c r="AS235" s="2">
        <f>IF(AR$4=$E235, $I235*AR$202,0) + IF(AR$4&gt;$E235,MIN(AR235,$I235-SUM($J235:AR235)))</f>
        <v>8.2904235884603903</v>
      </c>
      <c r="AT235" s="2">
        <f>IF(AS$4=$E235, $I235*AS$202,0) + IF(AS$4&gt;$E235,MIN(AS235,$I235-SUM($J235:AS235)))</f>
        <v>8.2904235884603903</v>
      </c>
      <c r="AU235" s="2">
        <f>IF(AT$4=$E235, $I235*AT$202,0) + IF(AT$4&gt;$E235,MIN(AT235,$I235-SUM($J235:AT235)))</f>
        <v>8.2904235884603903</v>
      </c>
      <c r="AV235" s="2">
        <f>IF(AU$4=$E235, $I235*AU$202,0) + IF(AU$4&gt;$E235,MIN(AU235,$I235-SUM($J235:AU235)))</f>
        <v>8.2904235884603903</v>
      </c>
      <c r="AW235" s="2"/>
    </row>
    <row r="236" spans="5:49" ht="15" outlineLevel="1">
      <c r="E236" s="44">
        <f>INDEX($K$4:$AV$4,,COUNT(E$209:E235)+1)</f>
        <v>42825</v>
      </c>
      <c r="G236" s="2" t="s">
        <v>105</v>
      </c>
      <c r="I236" s="2" cm="1">
        <f t="array" ref="I236">INDEX($K$25:$AV$25,,MATCH(E236,$K$4:$AV$4,0))</f>
        <v>174.69572201826307</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6.6550751245052604</v>
      </c>
      <c r="AM236" s="2">
        <f>IF(AL$4=$E236, $I236*AL$202,0) + IF(AL$4&gt;$E236,MIN(AL236,$I236-SUM($J236:AL236)))</f>
        <v>6.6550751245052604</v>
      </c>
      <c r="AN236" s="2">
        <f>IF(AM$4=$E236, $I236*AM$202,0) + IF(AM$4&gt;$E236,MIN(AM236,$I236-SUM($J236:AM236)))</f>
        <v>6.6550751245052604</v>
      </c>
      <c r="AO236" s="2">
        <f>IF(AN$4=$E236, $I236*AN$202,0) + IF(AN$4&gt;$E236,MIN(AN236,$I236-SUM($J236:AN236)))</f>
        <v>6.6550751245052604</v>
      </c>
      <c r="AP236" s="2">
        <f>IF(AO$4=$E236, $I236*AO$202,0) + IF(AO$4&gt;$E236,MIN(AO236,$I236-SUM($J236:AO236)))</f>
        <v>6.6550751245052604</v>
      </c>
      <c r="AQ236" s="57">
        <f>IF(AP$4=$E236, $I236*AP$202,0) + IF(AP$4&gt;$E236,MIN(AP236,$I236-SUM($J236:AP236)))</f>
        <v>6.6550751245052604</v>
      </c>
      <c r="AR236" s="2">
        <f>IF(AQ$4=$E236, $I236*AQ$202,0) + IF(AQ$4&gt;$E236,MIN(AQ236,$I236-SUM($J236:AQ236)))</f>
        <v>6.6550751245052604</v>
      </c>
      <c r="AS236" s="2">
        <f>IF(AR$4=$E236, $I236*AR$202,0) + IF(AR$4&gt;$E236,MIN(AR236,$I236-SUM($J236:AR236)))</f>
        <v>6.6550751245052604</v>
      </c>
      <c r="AT236" s="2">
        <f>IF(AS$4=$E236, $I236*AS$202,0) + IF(AS$4&gt;$E236,MIN(AS236,$I236-SUM($J236:AS236)))</f>
        <v>6.6550751245052604</v>
      </c>
      <c r="AU236" s="2">
        <f>IF(AT$4=$E236, $I236*AT$202,0) + IF(AT$4&gt;$E236,MIN(AT236,$I236-SUM($J236:AT236)))</f>
        <v>6.6550751245052604</v>
      </c>
      <c r="AV236" s="2">
        <f>IF(AU$4=$E236, $I236*AU$202,0) + IF(AU$4&gt;$E236,MIN(AU236,$I236-SUM($J236:AU236)))</f>
        <v>6.6550751245052604</v>
      </c>
      <c r="AW236" s="2"/>
    </row>
    <row r="237" spans="5:49" ht="15" outlineLevel="1">
      <c r="E237" s="44">
        <f>INDEX($K$4:$AV$4,,COUNT(E$209:E236)+1)</f>
        <v>43190</v>
      </c>
      <c r="G237" s="2" t="s">
        <v>105</v>
      </c>
      <c r="I237" s="2" cm="1">
        <f t="array" ref="I237">INDEX($K$25:$AV$25,,MATCH(E237,$K$4:$AV$4,0))</f>
        <v>186.35491468013478</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6.3439970954939504</v>
      </c>
      <c r="AN237" s="2">
        <f>IF(AM$4=$E237, $I237*AM$202,0) + IF(AM$4&gt;$E237,MIN(AM237,$I237-SUM($J237:AM237)))</f>
        <v>6.3439970954939504</v>
      </c>
      <c r="AO237" s="2">
        <f>IF(AN$4=$E237, $I237*AN$202,0) + IF(AN$4&gt;$E237,MIN(AN237,$I237-SUM($J237:AN237)))</f>
        <v>6.3439970954939504</v>
      </c>
      <c r="AP237" s="2">
        <f>IF(AO$4=$E237, $I237*AO$202,0) + IF(AO$4&gt;$E237,MIN(AO237,$I237-SUM($J237:AO237)))</f>
        <v>6.3439970954939504</v>
      </c>
      <c r="AQ237" s="57">
        <f>IF(AP$4=$E237, $I237*AP$202,0) + IF(AP$4&gt;$E237,MIN(AP237,$I237-SUM($J237:AP237)))</f>
        <v>6.3439970954939504</v>
      </c>
      <c r="AR237" s="2">
        <f>IF(AQ$4=$E237, $I237*AQ$202,0) + IF(AQ$4&gt;$E237,MIN(AQ237,$I237-SUM($J237:AQ237)))</f>
        <v>6.3439970954939504</v>
      </c>
      <c r="AS237" s="2">
        <f>IF(AR$4=$E237, $I237*AR$202,0) + IF(AR$4&gt;$E237,MIN(AR237,$I237-SUM($J237:AR237)))</f>
        <v>6.3439970954939504</v>
      </c>
      <c r="AT237" s="2">
        <f>IF(AS$4=$E237, $I237*AS$202,0) + IF(AS$4&gt;$E237,MIN(AS237,$I237-SUM($J237:AS237)))</f>
        <v>6.3439970954939504</v>
      </c>
      <c r="AU237" s="2">
        <f>IF(AT$4=$E237, $I237*AT$202,0) + IF(AT$4&gt;$E237,MIN(AT237,$I237-SUM($J237:AT237)))</f>
        <v>6.3439970954939504</v>
      </c>
      <c r="AV237" s="2">
        <f>IF(AU$4=$E237, $I237*AU$202,0) + IF(AU$4&gt;$E237,MIN(AU237,$I237-SUM($J237:AU237)))</f>
        <v>6.3439970954939504</v>
      </c>
      <c r="AW237" s="2"/>
    </row>
    <row r="238" spans="5:49" ht="15" outlineLevel="1">
      <c r="E238" s="44">
        <f>INDEX($K$4:$AV$4,,COUNT(E$209:E237)+1)</f>
        <v>43555</v>
      </c>
      <c r="G238" s="2" t="s">
        <v>105</v>
      </c>
      <c r="I238" s="2" cm="1">
        <f t="array" ref="I238">INDEX($K$25:$AV$25,,MATCH(E238,$K$4:$AV$4,0))</f>
        <v>189.53974377633185</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5.8319921161948267</v>
      </c>
      <c r="AO238" s="2">
        <f>IF(AN$4=$E238, $I238*AN$202,0) + IF(AN$4&gt;$E238,MIN(AN238,$I238-SUM($J238:AN238)))</f>
        <v>5.8319921161948267</v>
      </c>
      <c r="AP238" s="2">
        <f>IF(AO$4=$E238, $I238*AO$202,0) + IF(AO$4&gt;$E238,MIN(AO238,$I238-SUM($J238:AO238)))</f>
        <v>5.8319921161948267</v>
      </c>
      <c r="AQ238" s="57">
        <f>IF(AP$4=$E238, $I238*AP$202,0) + IF(AP$4&gt;$E238,MIN(AP238,$I238-SUM($J238:AP238)))</f>
        <v>5.8319921161948267</v>
      </c>
      <c r="AR238" s="2">
        <f>IF(AQ$4=$E238, $I238*AQ$202,0) + IF(AQ$4&gt;$E238,MIN(AQ238,$I238-SUM($J238:AQ238)))</f>
        <v>5.8319921161948267</v>
      </c>
      <c r="AS238" s="2">
        <f>IF(AR$4=$E238, $I238*AR$202,0) + IF(AR$4&gt;$E238,MIN(AR238,$I238-SUM($J238:AR238)))</f>
        <v>5.8319921161948267</v>
      </c>
      <c r="AT238" s="2">
        <f>IF(AS$4=$E238, $I238*AS$202,0) + IF(AS$4&gt;$E238,MIN(AS238,$I238-SUM($J238:AS238)))</f>
        <v>5.8319921161948267</v>
      </c>
      <c r="AU238" s="2">
        <f>IF(AT$4=$E238, $I238*AT$202,0) + IF(AT$4&gt;$E238,MIN(AT238,$I238-SUM($J238:AT238)))</f>
        <v>5.8319921161948267</v>
      </c>
      <c r="AV238" s="2">
        <f>IF(AU$4=$E238, $I238*AU$202,0) + IF(AU$4&gt;$E238,MIN(AU238,$I238-SUM($J238:AU238)))</f>
        <v>5.8319921161948267</v>
      </c>
      <c r="AW238" s="2"/>
    </row>
    <row r="239" spans="5:49" ht="15" outlineLevel="1">
      <c r="E239" s="44">
        <f>INDEX($K$4:$AV$4,,COUNT(E$209:E238)+1)</f>
        <v>43921</v>
      </c>
      <c r="G239" s="2" t="s">
        <v>105</v>
      </c>
      <c r="I239" s="2" cm="1">
        <f t="array" ref="I239">INDEX($K$25:$AV$25,,MATCH(E239,$K$4:$AV$4,0))</f>
        <v>182.79560949560832</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5.1311048279469</v>
      </c>
      <c r="AP239" s="2">
        <f>IF(AO$4=$E239, $I239*AO$202,0) + IF(AO$4&gt;$E239,MIN(AO239,$I239-SUM($J239:AO239)))</f>
        <v>5.1311048279469</v>
      </c>
      <c r="AQ239" s="57">
        <f>IF(AP$4=$E239, $I239*AP$202,0) + IF(AP$4&gt;$E239,MIN(AP239,$I239-SUM($J239:AP239)))</f>
        <v>5.1311048279469</v>
      </c>
      <c r="AR239" s="2">
        <f>IF(AQ$4=$E239, $I239*AQ$202,0) + IF(AQ$4&gt;$E239,MIN(AQ239,$I239-SUM($J239:AQ239)))</f>
        <v>5.1311048279469</v>
      </c>
      <c r="AS239" s="2">
        <f>IF(AR$4=$E239, $I239*AR$202,0) + IF(AR$4&gt;$E239,MIN(AR239,$I239-SUM($J239:AR239)))</f>
        <v>5.1311048279469</v>
      </c>
      <c r="AT239" s="2">
        <f>IF(AS$4=$E239, $I239*AS$202,0) + IF(AS$4&gt;$E239,MIN(AS239,$I239-SUM($J239:AS239)))</f>
        <v>5.1311048279469</v>
      </c>
      <c r="AU239" s="2">
        <f>IF(AT$4=$E239, $I239*AT$202,0) + IF(AT$4&gt;$E239,MIN(AT239,$I239-SUM($J239:AT239)))</f>
        <v>5.1311048279469</v>
      </c>
      <c r="AV239" s="2">
        <f>IF(AU$4=$E239, $I239*AU$202,0) + IF(AU$4&gt;$E239,MIN(AU239,$I239-SUM($J239:AU239)))</f>
        <v>5.1311048279469</v>
      </c>
      <c r="AW239" s="2"/>
    </row>
    <row r="240" spans="5:49" ht="15" outlineLevel="1">
      <c r="E240" s="44">
        <f>INDEX($K$4:$AV$4,,COUNT(E$209:E239)+1)</f>
        <v>44286</v>
      </c>
      <c r="G240" s="2" t="s">
        <v>105</v>
      </c>
      <c r="I240" s="2" cm="1">
        <f t="array" ref="I240">INDEX($K$25:$AV$25,,MATCH(E240,$K$4:$AV$4,0))</f>
        <v>181.46808524335731</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4.6830473611188985</v>
      </c>
      <c r="AQ240" s="57">
        <f>IF(AP$4=$E240, $I240*AP$202,0) + IF(AP$4&gt;$E240,MIN(AP240,$I240-SUM($J240:AP240)))</f>
        <v>4.6830473611188985</v>
      </c>
      <c r="AR240" s="2">
        <f>IF(AQ$4=$E240, $I240*AQ$202,0) + IF(AQ$4&gt;$E240,MIN(AQ240,$I240-SUM($J240:AQ240)))</f>
        <v>4.6830473611188985</v>
      </c>
      <c r="AS240" s="2">
        <f>IF(AR$4=$E240, $I240*AR$202,0) + IF(AR$4&gt;$E240,MIN(AR240,$I240-SUM($J240:AR240)))</f>
        <v>4.6830473611188985</v>
      </c>
      <c r="AT240" s="2">
        <f>IF(AS$4=$E240, $I240*AS$202,0) + IF(AS$4&gt;$E240,MIN(AS240,$I240-SUM($J240:AS240)))</f>
        <v>4.6830473611188985</v>
      </c>
      <c r="AU240" s="2">
        <f>IF(AT$4=$E240, $I240*AT$202,0) + IF(AT$4&gt;$E240,MIN(AT240,$I240-SUM($J240:AT240)))</f>
        <v>4.6830473611188985</v>
      </c>
      <c r="AV240" s="2">
        <f>IF(AU$4=$E240, $I240*AU$202,0) + IF(AU$4&gt;$E240,MIN(AU240,$I240-SUM($J240:AU240)))</f>
        <v>4.6830473611188985</v>
      </c>
      <c r="AW240" s="2"/>
    </row>
    <row r="241" spans="1:49" ht="15" outlineLevel="1">
      <c r="E241" s="44">
        <f>INDEX($K$4:$AV$4,,COUNT(E$209:E240)+1)</f>
        <v>44651</v>
      </c>
      <c r="G241" s="2" t="s">
        <v>105</v>
      </c>
      <c r="I241" s="2" cm="1">
        <f t="array" ref="I241">INDEX($K$25:$AV$25,,MATCH(E241,$K$4:$AV$4,0))</f>
        <v>188.56712753893612</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4.5030955830193697</v>
      </c>
      <c r="AR241" s="2">
        <f>IF(AQ$4=$E241, $I241*AQ$202,0) + IF(AQ$4&gt;$E241,MIN(AQ241,$I241-SUM($J241:AQ241)))</f>
        <v>4.5030955830193697</v>
      </c>
      <c r="AS241" s="2">
        <f>IF(AR$4=$E241, $I241*AR$202,0) + IF(AR$4&gt;$E241,MIN(AR241,$I241-SUM($J241:AR241)))</f>
        <v>4.5030955830193697</v>
      </c>
      <c r="AT241" s="2">
        <f>IF(AS$4=$E241, $I241*AS$202,0) + IF(AS$4&gt;$E241,MIN(AS241,$I241-SUM($J241:AS241)))</f>
        <v>4.5030955830193697</v>
      </c>
      <c r="AU241" s="2">
        <f>IF(AT$4=$E241, $I241*AT$202,0) + IF(AT$4&gt;$E241,MIN(AT241,$I241-SUM($J241:AT241)))</f>
        <v>4.5030955830193697</v>
      </c>
      <c r="AV241" s="2">
        <f>IF(AU$4=$E241, $I241*AU$202,0) + IF(AU$4&gt;$E241,MIN(AU241,$I241-SUM($J241:AU241)))</f>
        <v>4.5030955830193697</v>
      </c>
      <c r="AW241" s="2"/>
    </row>
    <row r="242" spans="1:49" ht="15" outlineLevel="1">
      <c r="E242" s="44">
        <f>INDEX($K$4:$AV$4,,COUNT(E$209:E241)+1)</f>
        <v>45016</v>
      </c>
      <c r="G242" s="2" t="s">
        <v>105</v>
      </c>
      <c r="I242" s="2" cm="1">
        <f t="array" ref="I242">INDEX($K$25:$AV$25,,MATCH(E242,$K$4:$AV$4,0))</f>
        <v>185.21365640640448</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4.1158590312534331</v>
      </c>
      <c r="AS242" s="2">
        <f>IF(AR$4=$E242, $I242*AR$202,0) + IF(AR$4&gt;$E242,MIN(AR242,$I242-SUM($J242:AR242)))</f>
        <v>4.1158590312534331</v>
      </c>
      <c r="AT242" s="2">
        <f>IF(AS$4=$E242, $I242*AS$202,0) + IF(AS$4&gt;$E242,MIN(AS242,$I242-SUM($J242:AS242)))</f>
        <v>4.1158590312534331</v>
      </c>
      <c r="AU242" s="2">
        <f>IF(AT$4=$E242, $I242*AT$202,0) + IF(AT$4&gt;$E242,MIN(AT242,$I242-SUM($J242:AT242)))</f>
        <v>4.1158590312534331</v>
      </c>
      <c r="AV242" s="2">
        <f>IF(AU$4=$E242, $I242*AU$202,0) + IF(AU$4&gt;$E242,MIN(AU242,$I242-SUM($J242:AU242)))</f>
        <v>4.1158590312534331</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912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913</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914</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2.2222222222222223E-2</v>
      </c>
      <c r="X253" s="145">
        <f t="shared" si="87"/>
        <v>2.2222222222222223E-2</v>
      </c>
      <c r="Y253" s="145">
        <f t="shared" si="87"/>
        <v>2.2222222222222223E-2</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915</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5.2802969029124096</v>
      </c>
      <c r="AT255" s="2">
        <f t="shared" si="88"/>
        <v>11.078606410629192</v>
      </c>
      <c r="AU255" s="2">
        <f t="shared" si="88"/>
        <v>17.328219956655602</v>
      </c>
      <c r="AV255" s="2">
        <f t="shared" si="88"/>
        <v>23.512590995915744</v>
      </c>
    </row>
    <row r="256" spans="1:49">
      <c r="AQ256" s="220"/>
    </row>
    <row r="257" spans="1:49" ht="15">
      <c r="A257" s="2"/>
      <c r="B257" s="2"/>
      <c r="C257" s="28" t="s">
        <v>916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917</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2.2222222222222223E-2</v>
      </c>
      <c r="X259" s="145">
        <f t="shared" si="89"/>
        <v>2.2222222222222223E-2</v>
      </c>
      <c r="Y259" s="145">
        <f t="shared" si="89"/>
        <v>2.2222222222222223E-2</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911</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5.2802969029124096</v>
      </c>
      <c r="AT261" s="2">
        <f t="shared" si="90"/>
        <v>11.078606410629192</v>
      </c>
      <c r="AU261" s="2">
        <f t="shared" si="90"/>
        <v>17.328219956655602</v>
      </c>
      <c r="AV261" s="2">
        <f t="shared" si="90"/>
        <v>23.512590995915744</v>
      </c>
    </row>
    <row r="262" spans="1:49" ht="15" outlineLevel="1">
      <c r="K262" s="2"/>
      <c r="AQ262" s="220"/>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237.61336063105844</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5.2802969029124096</v>
      </c>
      <c r="AT296" s="2">
        <f>IF(AS$4=$E296, $I296*AS$259,0) + IF(AS$4&gt;$E296,MIN(AS296,$I296-SUM($J296:AS296)))</f>
        <v>5.2802969029124096</v>
      </c>
      <c r="AU296" s="2">
        <f>IF(AT$4=$E296, $I296*AT$259,0) + IF(AT$4&gt;$E296,MIN(AT296,$I296-SUM($J296:AT296)))</f>
        <v>5.2802969029124096</v>
      </c>
      <c r="AV296" s="2">
        <f>IF(AU$4=$E296, $I296*AU$259,0) + IF(AU$4&gt;$E296,MIN(AU296,$I296-SUM($J296:AU296)))</f>
        <v>5.2802969029124096</v>
      </c>
      <c r="AW296" s="2"/>
    </row>
    <row r="297" spans="1:49" ht="15" outlineLevel="1">
      <c r="D297" s="45"/>
      <c r="E297" s="44">
        <f>INDEX($K$4:$AV$4,,COUNT(E$262:E296)+1)</f>
        <v>45747</v>
      </c>
      <c r="G297" s="2" t="s">
        <v>105</v>
      </c>
      <c r="I297" s="2" cm="1">
        <f t="array" ref="I297">INDEX($K$26:$AV$26,,MATCH(E297,$K$4:$AV$4,0))</f>
        <v>260.92392784725524</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5.798309507716783</v>
      </c>
      <c r="AU297" s="2">
        <f>IF(AT$4=$E297, $I297*AT$259,0) + IF(AT$4&gt;$E297,MIN(AT297,$I297-SUM($J297:AT297)))</f>
        <v>5.798309507716783</v>
      </c>
      <c r="AV297" s="2">
        <f>IF(AU$4=$E297, $I297*AU$259,0) + IF(AU$4&gt;$E297,MIN(AU297,$I297-SUM($J297:AU297)))</f>
        <v>5.798309507716783</v>
      </c>
      <c r="AW297" s="2"/>
    </row>
    <row r="298" spans="1:49" ht="15" outlineLevel="1">
      <c r="D298" s="45"/>
      <c r="E298" s="44">
        <f>INDEX($K$4:$AV$4,,COUNT(E$262:E297)+1)</f>
        <v>46112</v>
      </c>
      <c r="G298" s="2" t="s">
        <v>105</v>
      </c>
      <c r="I298" s="2" cm="1">
        <f t="array" ref="I298">INDEX($K$26:$AV$26,,MATCH(E298,$K$4:$AV$4,0))</f>
        <v>281.23260957118845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6.2496135460264099</v>
      </c>
      <c r="AV298" s="2">
        <f>IF(AU$4=$E298, $I298*AU$259,0) + IF(AU$4&gt;$E298,MIN(AU298,$I298-SUM($J298:AU298)))</f>
        <v>6.2496135460264099</v>
      </c>
      <c r="AW298" s="2"/>
    </row>
    <row r="299" spans="1:49" ht="15" outlineLevel="1">
      <c r="D299" s="45"/>
      <c r="E299" s="44">
        <f>INDEX($K$4:$AV$4,,COUNT(E$262:E298)+1)</f>
        <v>46477</v>
      </c>
      <c r="G299" s="2" t="s">
        <v>105</v>
      </c>
      <c r="I299" s="2" cm="1">
        <f t="array" ref="I299">INDEX($K$26:$AV$26,,MATCH(E299,$K$4:$AV$4,0))</f>
        <v>278.29669676670642</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6.1843710392601432</v>
      </c>
      <c r="AW299" s="2"/>
    </row>
    <row r="300" spans="1:49" ht="15" outlineLevel="1">
      <c r="D300" s="45"/>
      <c r="E300" s="44">
        <f>INDEX($K$4:$AV$4,,COUNT(E$262:E299)+1)</f>
        <v>46843</v>
      </c>
      <c r="G300" s="2" t="s">
        <v>105</v>
      </c>
      <c r="I300" s="2" cm="1">
        <f t="array" ref="I300">INDEX($K$26:$AV$26,,MATCH(E300,$K$4:$AV$4,0))</f>
        <v>288.03079742587806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408" priority="18" operator="equal">
      <formula>FALSE()</formula>
    </cfRule>
  </conditionalFormatting>
  <conditionalFormatting sqref="K252:AV255">
    <cfRule type="cellIs" dxfId="407" priority="7" operator="equal">
      <formula>FALSE()</formula>
    </cfRule>
  </conditionalFormatting>
  <conditionalFormatting sqref="K259:AV259">
    <cfRule type="cellIs" dxfId="406" priority="1" operator="equal">
      <formula>FALSE()</formula>
    </cfRule>
  </conditionalFormatting>
  <conditionalFormatting sqref="AM2">
    <cfRule type="expression" dxfId="405" priority="2">
      <formula>mac_sensitivity=2</formula>
    </cfRule>
    <cfRule type="expression" dxfId="404" priority="3">
      <formula>mac_sensitivity=1</formula>
    </cfRule>
  </conditionalFormatting>
  <conditionalFormatting sqref="AM3">
    <cfRule type="expression" dxfId="403"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918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919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920</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921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599</v>
      </c>
      <c r="G12" s="21" t="s">
        <v>249</v>
      </c>
      <c r="H12" s="48"/>
      <c r="AJ12" s="49"/>
      <c r="AK12" s="49"/>
      <c r="AL12" s="49"/>
      <c r="AM12" s="49"/>
      <c r="AN12" s="49"/>
      <c r="AO12" s="49"/>
      <c r="AP12" s="49"/>
      <c r="AQ12" s="214"/>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5">
      <c r="E13" s="41" t="s">
        <v>922</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923</v>
      </c>
      <c r="G15" s="2" t="s">
        <v>105</v>
      </c>
      <c r="H15" s="48"/>
      <c r="AJ15" s="7"/>
      <c r="AK15" s="7"/>
      <c r="AL15" s="7"/>
      <c r="AM15" s="7"/>
      <c r="AN15" s="7"/>
      <c r="AO15" s="7"/>
      <c r="AP15" s="7"/>
      <c r="AQ15" s="65"/>
      <c r="AR15" s="7">
        <f t="shared" ref="AR15:AU15" si="1">AR46</f>
        <v>2068.677184417134</v>
      </c>
      <c r="AS15" s="7">
        <f t="shared" si="1"/>
        <v>2180.7065140962845</v>
      </c>
      <c r="AT15" s="7">
        <f t="shared" si="1"/>
        <v>2315.912219097605</v>
      </c>
      <c r="AU15" s="7">
        <f t="shared" si="1"/>
        <v>2452.1005909332775</v>
      </c>
      <c r="AV15" s="7">
        <f>AV46</f>
        <v>2598.2413870551909</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924</v>
      </c>
      <c r="G17" s="2" t="s">
        <v>105</v>
      </c>
      <c r="H17" s="48"/>
      <c r="AJ17" s="461"/>
      <c r="AK17" s="461"/>
      <c r="AL17" s="461"/>
      <c r="AM17" s="461"/>
      <c r="AN17" s="461"/>
      <c r="AO17" s="461"/>
      <c r="AP17" s="461"/>
      <c r="AQ17" s="386"/>
      <c r="AR17" s="461">
        <f t="shared" ref="AR17:AU17" si="2">AR13 * AR15</f>
        <v>1989.6223695999388</v>
      </c>
      <c r="AS17" s="461">
        <f t="shared" si="2"/>
        <v>2094.0742775976614</v>
      </c>
      <c r="AT17" s="461">
        <f t="shared" si="2"/>
        <v>2223.7379031957094</v>
      </c>
      <c r="AU17" s="461">
        <f t="shared" si="2"/>
        <v>2354.2393248935182</v>
      </c>
      <c r="AV17" s="461">
        <f>AV13 * AV15</f>
        <v>2494.0985713036384</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925</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926</v>
      </c>
      <c r="G20" s="2" t="s">
        <v>105</v>
      </c>
      <c r="H20" s="48"/>
      <c r="AJ20" s="7"/>
      <c r="AK20" s="7"/>
      <c r="AL20" s="7"/>
      <c r="AM20" s="7"/>
      <c r="AN20" s="7"/>
      <c r="AO20" s="7"/>
      <c r="AP20" s="7"/>
      <c r="AQ20" s="65"/>
      <c r="AR20" s="7">
        <f>AR43</f>
        <v>1983.6574829541764</v>
      </c>
      <c r="AS20" s="7">
        <f t="shared" ref="AS20:AV20" si="3">AS43</f>
        <v>2068.677184417134</v>
      </c>
      <c r="AT20" s="7">
        <f t="shared" si="3"/>
        <v>2180.7065140962845</v>
      </c>
      <c r="AU20" s="7">
        <f t="shared" si="3"/>
        <v>2315.912219097605</v>
      </c>
      <c r="AV20" s="7">
        <f t="shared" si="3"/>
        <v>2452.1005909332775</v>
      </c>
      <c r="AW20" s="48"/>
    </row>
    <row r="21" spans="1:49" s="21" customFormat="1" ht="15">
      <c r="E21" s="41" t="s">
        <v>924</v>
      </c>
      <c r="G21" s="2" t="s">
        <v>105</v>
      </c>
      <c r="H21" s="48"/>
      <c r="AJ21" s="7"/>
      <c r="AK21" s="7"/>
      <c r="AL21" s="7"/>
      <c r="AM21" s="7"/>
      <c r="AN21" s="7"/>
      <c r="AO21" s="7"/>
      <c r="AP21" s="7"/>
      <c r="AQ21" s="65"/>
      <c r="AR21" s="7">
        <f>AR17</f>
        <v>1989.6223695999388</v>
      </c>
      <c r="AS21" s="7">
        <f t="shared" ref="AS21:AV21" si="4">AS17</f>
        <v>2094.0742775976614</v>
      </c>
      <c r="AT21" s="7">
        <f t="shared" si="4"/>
        <v>2223.7379031957094</v>
      </c>
      <c r="AU21" s="7">
        <f t="shared" si="4"/>
        <v>2354.2393248935182</v>
      </c>
      <c r="AV21" s="7">
        <f t="shared" si="4"/>
        <v>2494.0985713036384</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925</v>
      </c>
      <c r="G23" s="2" t="s">
        <v>105</v>
      </c>
      <c r="H23" s="48"/>
      <c r="AJ23" s="461"/>
      <c r="AK23" s="461"/>
      <c r="AL23" s="461"/>
      <c r="AM23" s="461"/>
      <c r="AN23" s="461"/>
      <c r="AO23" s="461"/>
      <c r="AP23" s="461"/>
      <c r="AQ23" s="386"/>
      <c r="AR23" s="461">
        <f t="shared" ref="AR23:AU23" si="5">AVERAGE(AR20:AR21)</f>
        <v>1986.6399262770576</v>
      </c>
      <c r="AS23" s="461">
        <f t="shared" si="5"/>
        <v>2081.3757310073979</v>
      </c>
      <c r="AT23" s="461">
        <f t="shared" si="5"/>
        <v>2202.2222086459969</v>
      </c>
      <c r="AU23" s="461">
        <f t="shared" si="5"/>
        <v>2335.0757719955618</v>
      </c>
      <c r="AV23" s="461">
        <f>AVERAGE(AV20:AV21)</f>
        <v>2473.099581118458</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927</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925</v>
      </c>
      <c r="G27" s="2" t="s">
        <v>105</v>
      </c>
      <c r="H27" s="48"/>
      <c r="AJ27" s="7"/>
      <c r="AK27" s="7"/>
      <c r="AL27" s="7"/>
      <c r="AM27" s="7"/>
      <c r="AN27" s="7"/>
      <c r="AO27" s="7"/>
      <c r="AP27" s="7"/>
      <c r="AQ27" s="65"/>
      <c r="AR27" s="7">
        <f t="shared" ref="AR27:AU27" si="6">AR23</f>
        <v>1986.6399262770576</v>
      </c>
      <c r="AS27" s="7">
        <f t="shared" si="6"/>
        <v>2081.3757310073979</v>
      </c>
      <c r="AT27" s="7">
        <f t="shared" si="6"/>
        <v>2202.2222086459969</v>
      </c>
      <c r="AU27" s="7">
        <f t="shared" si="6"/>
        <v>2335.0757719955618</v>
      </c>
      <c r="AV27" s="7">
        <f>AV23</f>
        <v>2473.099581118458</v>
      </c>
      <c r="AW27" s="48"/>
    </row>
    <row r="28" spans="1:49" s="21" customFormat="1" ht="15">
      <c r="E28" s="47" t="s">
        <v>599</v>
      </c>
      <c r="G28" s="21" t="s">
        <v>249</v>
      </c>
      <c r="H28" s="48"/>
      <c r="AJ28" s="185"/>
      <c r="AK28" s="185"/>
      <c r="AL28" s="185"/>
      <c r="AM28" s="185"/>
      <c r="AN28" s="185"/>
      <c r="AO28" s="185"/>
      <c r="AP28" s="185"/>
      <c r="AQ28" s="190"/>
      <c r="AR28" s="185">
        <f>AR12</f>
        <v>3.97335776E-2</v>
      </c>
      <c r="AS28" s="185">
        <f>AS12</f>
        <v>4.1370183200000001E-2</v>
      </c>
      <c r="AT28" s="185">
        <f>AT12</f>
        <v>4.1450170800000005E-2</v>
      </c>
      <c r="AU28" s="185">
        <f>AU12</f>
        <v>4.15681044E-2</v>
      </c>
      <c r="AV28" s="185">
        <f>AV12</f>
        <v>4.1755693600000005E-2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530</v>
      </c>
      <c r="G30" s="2" t="s">
        <v>105</v>
      </c>
      <c r="H30" s="48"/>
      <c r="AJ30" s="538"/>
      <c r="AK30" s="538"/>
      <c r="AL30" s="538"/>
      <c r="AM30" s="538"/>
      <c r="AN30" s="538"/>
      <c r="AO30" s="538"/>
      <c r="AP30" s="538"/>
      <c r="AQ30" s="385"/>
      <c r="AR30" s="538">
        <f t="shared" ref="AR30:AU30" si="7">AR27 * AR28</f>
        <v>78.936311673987746</v>
      </c>
      <c r="AS30" s="538">
        <f t="shared" si="7"/>
        <v>86.106895299809977</v>
      </c>
      <c r="AT30" s="538">
        <f t="shared" si="7"/>
        <v>91.282486687929818</v>
      </c>
      <c r="AU30" s="538">
        <f t="shared" si="7"/>
        <v>97.064673472222111</v>
      </c>
      <c r="AV30" s="538">
        <f>AV27 * AV28</f>
        <v>103.26598835147068</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928</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929</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930</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931</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932</v>
      </c>
      <c r="G41" s="2" t="s">
        <v>105</v>
      </c>
      <c r="J41" s="75"/>
      <c r="K41" s="75"/>
      <c r="L41" s="75"/>
      <c r="M41" s="75"/>
      <c r="N41" s="75"/>
      <c r="O41" s="75"/>
      <c r="P41" s="75"/>
      <c r="Q41" s="75"/>
      <c r="R41" s="75"/>
      <c r="S41" s="75"/>
      <c r="T41" s="75"/>
      <c r="U41" s="75"/>
      <c r="V41" s="75"/>
      <c r="W41" s="75"/>
      <c r="X41" s="75"/>
      <c r="Y41" s="75"/>
      <c r="Z41" s="75"/>
      <c r="AJ41" s="72">
        <f t="shared" ref="AJ41:AV41" si="8">(AJ55 - AJ63 - AJ73) * AJ$37</f>
        <v>1834.9413025497097</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933</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1834.9413025497097</v>
      </c>
      <c r="AK43" s="2">
        <f t="shared" si="9"/>
        <v>1849.1005428504282</v>
      </c>
      <c r="AL43" s="2">
        <f t="shared" si="9"/>
        <v>1844.5618817713084</v>
      </c>
      <c r="AM43" s="2">
        <f t="shared" si="9"/>
        <v>1861.8312009642584</v>
      </c>
      <c r="AN43" s="2">
        <f t="shared" si="9"/>
        <v>1884.3602271119969</v>
      </c>
      <c r="AO43" s="2">
        <f t="shared" si="9"/>
        <v>1903.3278503353106</v>
      </c>
      <c r="AP43" s="2">
        <f t="shared" si="9"/>
        <v>1924.1224359053508</v>
      </c>
      <c r="AQ43" s="57">
        <f t="shared" si="9"/>
        <v>1954.5276365090826</v>
      </c>
      <c r="AR43" s="2">
        <f t="shared" si="9"/>
        <v>1983.6574829541764</v>
      </c>
      <c r="AS43" s="2">
        <f t="shared" si="9"/>
        <v>2068.677184417134</v>
      </c>
      <c r="AT43" s="2">
        <f t="shared" si="9"/>
        <v>2180.7065140962845</v>
      </c>
      <c r="AU43" s="2">
        <f t="shared" si="9"/>
        <v>2315.912219097605</v>
      </c>
      <c r="AV43" s="2">
        <f t="shared" si="9"/>
        <v>2452.1005909332775</v>
      </c>
    </row>
    <row r="44" spans="2:48" s="2" customFormat="1" ht="15">
      <c r="E44" s="56" t="s">
        <v>934</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191.71604548314653</v>
      </c>
      <c r="AK44" s="30">
        <f t="shared" si="10"/>
        <v>174.69572201826307</v>
      </c>
      <c r="AL44" s="30">
        <f t="shared" si="10"/>
        <v>186.35491468013478</v>
      </c>
      <c r="AM44" s="30">
        <f t="shared" si="10"/>
        <v>189.53974377633185</v>
      </c>
      <c r="AN44" s="30">
        <f t="shared" si="10"/>
        <v>182.79560949560832</v>
      </c>
      <c r="AO44" s="30">
        <f t="shared" si="10"/>
        <v>181.46808524335731</v>
      </c>
      <c r="AP44" s="30">
        <f t="shared" si="10"/>
        <v>188.56712753893612</v>
      </c>
      <c r="AQ44" s="218">
        <f t="shared" si="10"/>
        <v>185.21365640640448</v>
      </c>
      <c r="AR44" s="30">
        <f t="shared" ref="AR44:AV44" si="11">AR57</f>
        <v>237.61336063105844</v>
      </c>
      <c r="AS44" s="30">
        <f t="shared" si="11"/>
        <v>260.92392784725524</v>
      </c>
      <c r="AT44" s="30">
        <f t="shared" si="11"/>
        <v>281.23260957118845</v>
      </c>
      <c r="AU44" s="30">
        <f t="shared" si="11"/>
        <v>278.29669676670642</v>
      </c>
      <c r="AV44" s="30">
        <f t="shared" si="11"/>
        <v>288.03079742587806</v>
      </c>
    </row>
    <row r="45" spans="2:48" s="2" customFormat="1" ht="15">
      <c r="E45" s="56" t="s">
        <v>935</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-177.55680518242809</v>
      </c>
      <c r="AK45" s="30">
        <f t="shared" si="12"/>
        <v>-179.23438309738273</v>
      </c>
      <c r="AL45" s="30">
        <f t="shared" si="12"/>
        <v>-169.08559548718469</v>
      </c>
      <c r="AM45" s="30">
        <f t="shared" si="12"/>
        <v>-167.01071762859351</v>
      </c>
      <c r="AN45" s="30">
        <f t="shared" si="12"/>
        <v>-163.82798627229459</v>
      </c>
      <c r="AO45" s="30">
        <f t="shared" si="12"/>
        <v>-160.67349967331717</v>
      </c>
      <c r="AP45" s="30">
        <f t="shared" si="12"/>
        <v>-158.16192693520458</v>
      </c>
      <c r="AQ45" s="218">
        <f t="shared" si="12"/>
        <v>-156.08380996131052</v>
      </c>
      <c r="AR45" s="30">
        <f t="shared" ref="AR45:AV45" si="13">-AR65</f>
        <v>-152.59365916810106</v>
      </c>
      <c r="AS45" s="30">
        <f t="shared" si="13"/>
        <v>-148.89459816810435</v>
      </c>
      <c r="AT45" s="30">
        <f t="shared" si="13"/>
        <v>-146.02690456986772</v>
      </c>
      <c r="AU45" s="30">
        <f t="shared" si="13"/>
        <v>-142.10832493103359</v>
      </c>
      <c r="AV45" s="30">
        <f t="shared" si="13"/>
        <v>-141.89000130396454</v>
      </c>
    </row>
    <row r="46" spans="2:48" s="2" customFormat="1" ht="15">
      <c r="E46" s="56" t="s">
        <v>923</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1849.1005428504282</v>
      </c>
      <c r="AK46" s="526">
        <f t="shared" si="14"/>
        <v>1844.5618817713084</v>
      </c>
      <c r="AL46" s="526">
        <f t="shared" si="14"/>
        <v>1861.8312009642584</v>
      </c>
      <c r="AM46" s="526">
        <f t="shared" si="14"/>
        <v>1884.3602271119969</v>
      </c>
      <c r="AN46" s="526">
        <f t="shared" si="14"/>
        <v>1903.3278503353106</v>
      </c>
      <c r="AO46" s="526">
        <f t="shared" si="14"/>
        <v>1924.1224359053508</v>
      </c>
      <c r="AP46" s="526">
        <f t="shared" si="14"/>
        <v>1954.5276365090826</v>
      </c>
      <c r="AQ46" s="531">
        <f t="shared" si="14"/>
        <v>1983.6574829541764</v>
      </c>
      <c r="AR46" s="526">
        <f t="shared" si="14"/>
        <v>2068.677184417134</v>
      </c>
      <c r="AS46" s="526">
        <f t="shared" si="14"/>
        <v>2180.7065140962845</v>
      </c>
      <c r="AT46" s="526">
        <f t="shared" si="14"/>
        <v>2315.912219097605</v>
      </c>
      <c r="AU46" s="526">
        <f t="shared" si="14"/>
        <v>2452.1005909332775</v>
      </c>
      <c r="AV46" s="526">
        <f t="shared" si="14"/>
        <v>2598.2413870551909</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936</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937</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938</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939</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932</v>
      </c>
      <c r="G53" s="2" t="s">
        <v>105</v>
      </c>
      <c r="J53" s="42"/>
      <c r="AJ53" s="79">
        <f>Depn!AJ45</f>
        <v>3855.4120000275934</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940</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3855.4120000275934</v>
      </c>
      <c r="AK55" s="2">
        <f t="shared" si="15"/>
        <v>4047.1280455107399</v>
      </c>
      <c r="AL55" s="2">
        <f t="shared" si="15"/>
        <v>4221.8237675290029</v>
      </c>
      <c r="AM55" s="2">
        <f t="shared" si="15"/>
        <v>4408.1786822091381</v>
      </c>
      <c r="AN55" s="2">
        <f t="shared" si="15"/>
        <v>4597.7184259854703</v>
      </c>
      <c r="AO55" s="2">
        <f t="shared" si="15"/>
        <v>4780.5140354810783</v>
      </c>
      <c r="AP55" s="2">
        <f t="shared" si="15"/>
        <v>4961.9821207244358</v>
      </c>
      <c r="AQ55" s="57">
        <f t="shared" si="15"/>
        <v>5150.5492482633717</v>
      </c>
      <c r="AR55" s="2">
        <f t="shared" si="15"/>
        <v>5335.7629046697766</v>
      </c>
      <c r="AS55" s="2">
        <f t="shared" si="15"/>
        <v>5573.3762653008353</v>
      </c>
      <c r="AT55" s="2">
        <f t="shared" si="15"/>
        <v>5834.3001931480903</v>
      </c>
      <c r="AU55" s="2">
        <f t="shared" si="15"/>
        <v>6115.5328027192791</v>
      </c>
      <c r="AV55" s="2">
        <f t="shared" si="15"/>
        <v>6393.8294994859853</v>
      </c>
    </row>
    <row r="56" spans="1:48" s="7" customFormat="1" ht="15">
      <c r="E56" s="56" t="s">
        <v>941</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3855.4120000275934</v>
      </c>
      <c r="AK56" s="432">
        <f t="shared" si="16"/>
        <v>4047.1280455107399</v>
      </c>
      <c r="AL56" s="432">
        <f t="shared" si="16"/>
        <v>4221.8237675290029</v>
      </c>
      <c r="AM56" s="432">
        <f t="shared" si="16"/>
        <v>4408.1786822091381</v>
      </c>
      <c r="AN56" s="432">
        <f t="shared" si="16"/>
        <v>4597.7184259854703</v>
      </c>
      <c r="AO56" s="432">
        <f t="shared" si="16"/>
        <v>4780.5140354810783</v>
      </c>
      <c r="AP56" s="432">
        <f t="shared" si="16"/>
        <v>4961.9821207244358</v>
      </c>
      <c r="AQ56" s="534">
        <f t="shared" si="16"/>
        <v>5150.5492482633717</v>
      </c>
      <c r="AR56" s="432">
        <f t="shared" si="16"/>
        <v>5335.7629046697766</v>
      </c>
      <c r="AS56" s="432">
        <f t="shared" si="16"/>
        <v>5573.3762653008353</v>
      </c>
      <c r="AT56" s="432">
        <f t="shared" si="16"/>
        <v>5834.3001931480903</v>
      </c>
      <c r="AU56" s="432">
        <f t="shared" si="16"/>
        <v>6115.5328027192791</v>
      </c>
      <c r="AV56" s="432">
        <f t="shared" si="16"/>
        <v>6393.8294994859853</v>
      </c>
    </row>
    <row r="57" spans="1:48" s="7" customFormat="1" ht="15">
      <c r="E57" s="56" t="s">
        <v>934</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191.71604548314653</v>
      </c>
      <c r="AK57" s="8">
        <f>Depn!AK27</f>
        <v>174.69572201826307</v>
      </c>
      <c r="AL57" s="8">
        <f>Depn!AL27</f>
        <v>186.35491468013478</v>
      </c>
      <c r="AM57" s="8">
        <f>Depn!AM27</f>
        <v>189.53974377633185</v>
      </c>
      <c r="AN57" s="8">
        <f>Depn!AN27</f>
        <v>182.79560949560832</v>
      </c>
      <c r="AO57" s="8">
        <f>Depn!AO27</f>
        <v>181.46808524335731</v>
      </c>
      <c r="AP57" s="8">
        <f>Depn!AP27</f>
        <v>188.56712753893612</v>
      </c>
      <c r="AQ57" s="9">
        <f>Depn!AQ27</f>
        <v>185.21365640640448</v>
      </c>
      <c r="AR57" s="8">
        <f>Depn!AR27</f>
        <v>237.61336063105844</v>
      </c>
      <c r="AS57" s="8">
        <f>Depn!AS27</f>
        <v>260.92392784725524</v>
      </c>
      <c r="AT57" s="8">
        <f>Depn!AT27</f>
        <v>281.23260957118845</v>
      </c>
      <c r="AU57" s="8">
        <f>Depn!AU27</f>
        <v>278.29669676670642</v>
      </c>
      <c r="AV57" s="8">
        <f>Depn!AV27</f>
        <v>288.03079742587806</v>
      </c>
    </row>
    <row r="58" spans="1:48" s="7" customFormat="1" ht="15">
      <c r="E58" s="56" t="s">
        <v>942</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4047.1280455107399</v>
      </c>
      <c r="AK58" s="431">
        <f t="shared" si="17"/>
        <v>4221.8237675290029</v>
      </c>
      <c r="AL58" s="431">
        <f t="shared" si="17"/>
        <v>4408.1786822091381</v>
      </c>
      <c r="AM58" s="431">
        <f t="shared" si="17"/>
        <v>4597.7184259854703</v>
      </c>
      <c r="AN58" s="431">
        <f t="shared" si="17"/>
        <v>4780.5140354810783</v>
      </c>
      <c r="AO58" s="431">
        <f t="shared" si="17"/>
        <v>4961.9821207244358</v>
      </c>
      <c r="AP58" s="431">
        <f t="shared" si="17"/>
        <v>5150.5492482633717</v>
      </c>
      <c r="AQ58" s="533">
        <f t="shared" si="17"/>
        <v>5335.7629046697766</v>
      </c>
      <c r="AR58" s="431">
        <f t="shared" si="17"/>
        <v>5573.3762653008353</v>
      </c>
      <c r="AS58" s="431">
        <f t="shared" si="17"/>
        <v>5834.3001931480903</v>
      </c>
      <c r="AT58" s="431">
        <f t="shared" si="17"/>
        <v>6115.5328027192791</v>
      </c>
      <c r="AU58" s="431">
        <f t="shared" si="17"/>
        <v>6393.8294994859853</v>
      </c>
      <c r="AV58" s="431">
        <f t="shared" si="17"/>
        <v>6681.8602969118638</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886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943</v>
      </c>
      <c r="G61" s="2" t="s">
        <v>105</v>
      </c>
      <c r="J61" s="42"/>
      <c r="AJ61" s="79">
        <f>Depn!AJ46</f>
        <v>1985.8369253133399</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940</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1985.8369253133399</v>
      </c>
      <c r="AK63" s="2">
        <f t="shared" si="18"/>
        <v>2163.3937304957681</v>
      </c>
      <c r="AL63" s="2">
        <f t="shared" si="18"/>
        <v>2342.6281135931508</v>
      </c>
      <c r="AM63" s="2">
        <f t="shared" si="18"/>
        <v>2511.7137090803353</v>
      </c>
      <c r="AN63" s="2">
        <f t="shared" si="18"/>
        <v>2678.7244267089291</v>
      </c>
      <c r="AO63" s="2">
        <f t="shared" si="18"/>
        <v>2842.5524129812238</v>
      </c>
      <c r="AP63" s="2">
        <f t="shared" si="18"/>
        <v>3003.2259126545409</v>
      </c>
      <c r="AQ63" s="57">
        <f t="shared" si="18"/>
        <v>3161.3878395897455</v>
      </c>
      <c r="AR63" s="2">
        <f t="shared" si="18"/>
        <v>3317.4716495510561</v>
      </c>
      <c r="AS63" s="2">
        <f t="shared" si="18"/>
        <v>3470.0653087191572</v>
      </c>
      <c r="AT63" s="2">
        <f t="shared" si="18"/>
        <v>3618.9599068872617</v>
      </c>
      <c r="AU63" s="2">
        <f t="shared" si="18"/>
        <v>3764.9868114571295</v>
      </c>
      <c r="AV63" s="2">
        <f t="shared" si="18"/>
        <v>3907.0951363881632</v>
      </c>
    </row>
    <row r="64" spans="1:48" s="7" customFormat="1" ht="15">
      <c r="E64" s="56" t="s">
        <v>941</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1985.8369253133399</v>
      </c>
      <c r="AK64" s="432">
        <f t="shared" si="19"/>
        <v>2163.3937304957681</v>
      </c>
      <c r="AL64" s="432">
        <f t="shared" si="19"/>
        <v>2342.6281135931508</v>
      </c>
      <c r="AM64" s="432">
        <f t="shared" si="19"/>
        <v>2511.7137090803353</v>
      </c>
      <c r="AN64" s="432">
        <f t="shared" si="19"/>
        <v>2678.7244267089291</v>
      </c>
      <c r="AO64" s="432">
        <f t="shared" si="19"/>
        <v>2842.5524129812238</v>
      </c>
      <c r="AP64" s="432">
        <f t="shared" si="19"/>
        <v>3003.2259126545409</v>
      </c>
      <c r="AQ64" s="534">
        <f t="shared" si="19"/>
        <v>3161.3878395897455</v>
      </c>
      <c r="AR64" s="432">
        <f t="shared" si="19"/>
        <v>3317.4716495510561</v>
      </c>
      <c r="AS64" s="432">
        <f t="shared" si="19"/>
        <v>3470.0653087191572</v>
      </c>
      <c r="AT64" s="432">
        <f t="shared" si="19"/>
        <v>3618.9599068872617</v>
      </c>
      <c r="AU64" s="432">
        <f t="shared" si="19"/>
        <v>3764.9868114571295</v>
      </c>
      <c r="AV64" s="432">
        <f t="shared" si="19"/>
        <v>3907.0951363881632</v>
      </c>
    </row>
    <row r="65" spans="1:48" s="7" customFormat="1" ht="15">
      <c r="E65" s="56" t="s">
        <v>935</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177.55680518242809</v>
      </c>
      <c r="AK65" s="8">
        <f>SUM(Depn!AK29:AK31)</f>
        <v>179.23438309738273</v>
      </c>
      <c r="AL65" s="8">
        <f>SUM(Depn!AL29:AL31)</f>
        <v>169.08559548718469</v>
      </c>
      <c r="AM65" s="8">
        <f>SUM(Depn!AM29:AM31)</f>
        <v>167.01071762859351</v>
      </c>
      <c r="AN65" s="8">
        <f>SUM(Depn!AN29:AN31)</f>
        <v>163.82798627229459</v>
      </c>
      <c r="AO65" s="8">
        <f>SUM(Depn!AO29:AO31)</f>
        <v>160.67349967331717</v>
      </c>
      <c r="AP65" s="8">
        <f>SUM(Depn!AP29:AP31)</f>
        <v>158.16192693520458</v>
      </c>
      <c r="AQ65" s="9">
        <f>SUM(Depn!AQ29:AQ31)</f>
        <v>156.08380996131052</v>
      </c>
      <c r="AR65" s="8">
        <f>SUM(Depn!AR29:AR31)</f>
        <v>152.59365916810106</v>
      </c>
      <c r="AS65" s="8">
        <f>SUM(Depn!AS29:AS31)</f>
        <v>148.89459816810435</v>
      </c>
      <c r="AT65" s="8">
        <f>SUM(Depn!AT29:AT31)</f>
        <v>146.02690456986772</v>
      </c>
      <c r="AU65" s="8">
        <f>SUM(Depn!AU29:AU31)</f>
        <v>142.10832493103359</v>
      </c>
      <c r="AV65" s="8">
        <f>SUM(Depn!AV29:AV31)</f>
        <v>141.89000130396454</v>
      </c>
    </row>
    <row r="66" spans="1:48" s="7" customFormat="1" ht="15">
      <c r="E66" s="56" t="s">
        <v>942</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2163.3937304957681</v>
      </c>
      <c r="AK66" s="431">
        <f t="shared" si="20"/>
        <v>2342.6281135931508</v>
      </c>
      <c r="AL66" s="431">
        <f t="shared" si="20"/>
        <v>2511.7137090803353</v>
      </c>
      <c r="AM66" s="431">
        <f t="shared" si="20"/>
        <v>2678.7244267089291</v>
      </c>
      <c r="AN66" s="431">
        <f t="shared" si="20"/>
        <v>2842.5524129812238</v>
      </c>
      <c r="AO66" s="431">
        <f t="shared" si="20"/>
        <v>3003.2259126545409</v>
      </c>
      <c r="AP66" s="431">
        <f t="shared" si="20"/>
        <v>3161.3878395897455</v>
      </c>
      <c r="AQ66" s="533">
        <f t="shared" si="20"/>
        <v>3317.4716495510561</v>
      </c>
      <c r="AR66" s="431">
        <f t="shared" si="20"/>
        <v>3470.0653087191572</v>
      </c>
      <c r="AS66" s="431">
        <f t="shared" si="20"/>
        <v>3618.9599068872617</v>
      </c>
      <c r="AT66" s="431">
        <f t="shared" si="20"/>
        <v>3764.9868114571295</v>
      </c>
      <c r="AU66" s="431">
        <f t="shared" si="20"/>
        <v>3907.0951363881632</v>
      </c>
      <c r="AV66" s="431">
        <f t="shared" si="20"/>
        <v>4048.9851376921279</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944</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945</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2103.3109565816781</v>
      </c>
      <c r="AS69" s="461">
        <f>AS58 - AS66</f>
        <v>2215.3402862608286</v>
      </c>
      <c r="AT69" s="461">
        <f>AT58 - AT66</f>
        <v>2350.5459912621495</v>
      </c>
      <c r="AU69" s="461">
        <f>AU58 - AU66</f>
        <v>2486.7343630978221</v>
      </c>
      <c r="AV69" s="461">
        <f>AV58 - AV66</f>
        <v>2632.8751592197359</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946</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34.633772164543871</v>
      </c>
      <c r="J73" s="42"/>
      <c r="K73" s="42"/>
      <c r="L73" s="42"/>
      <c r="M73" s="42"/>
      <c r="N73" s="42"/>
      <c r="O73" s="42"/>
      <c r="P73" s="42"/>
      <c r="Q73" s="42"/>
      <c r="R73" s="42"/>
      <c r="S73" s="42"/>
      <c r="T73" s="42"/>
      <c r="U73" s="42"/>
      <c r="V73" s="42"/>
      <c r="W73" s="42"/>
      <c r="X73" s="42"/>
      <c r="Y73" s="42"/>
      <c r="Z73" s="42"/>
      <c r="AJ73" s="2">
        <f>AJ$37*$I73</f>
        <v>34.633772164543871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402" priority="1">
      <formula>mac_sensitivity=2</formula>
    </cfRule>
    <cfRule type="expression" dxfId="401" priority="2">
      <formula>mac_sensitivity=1</formula>
    </cfRule>
  </conditionalFormatting>
  <conditionalFormatting sqref="AM3">
    <cfRule type="expression" dxfId="40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A w D A A B Q S w M E F A A C A A g A T 3 s e 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E 9 7 H l 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P e x 5 X K I p H u A 4 A A A A R A A A A E w A c A E Z v c m 1 1 b G F z L 1 N l Y 3 R p b 2 4 x L m 0 g o h g A K K A U A A A A A A A A A A A A A A A A A A A A A A A A A A A A K 0 5 N L s n M z 1 M I h t C G 1 g B Q S w E C L Q A U A A I A C A B P e x 5 X H M h 1 b q U A A A D 2 A A A A E g A A A A A A A A A A A A A A A A A A A A A A Q 2 9 u Z m l n L 1 B h Y 2 t h Z 2 U u e G 1 s U E s B A i 0 A F A A C A A g A T 3 s e V 1 N y O C y b A A A A 4 Q A A A B M A A A A A A A A A A A A A A A A A 8 Q A A A F t D b 2 5 0 Z W 5 0 X 1 R 5 c G V z X S 5 4 b W x Q S w E C L Q A U A A I A C A B P e x 5 X 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J g 0 4 N P k p N 5 P u 2 9 F e 3 D n L 9 A A A A A A A g A A A A A A A 2 Y A A M A A A A A Q A A A A j r Q 5 2 F K M 7 x v X i b j c I u / s / g A A A A A E g A A A o A A A A B A A A A A Q G J e + E w t S p w h H H b M E O Z C G U A A A A M D i T E Y U 6 J s k M o U Z g o A G Q B P 2 G I m e g N v R C b U L d s b M + G I c Y 2 K 7 Y 6 i F z 3 1 T p 2 Y S h m 4 x T 5 j U M x m I b O N d M d / m y r i q w o 3 C M I 1 q b 6 x I u P 1 v 5 / / i o S U C F A A A A M K b h P / P 5 i V O R z j p M y N V w X k U y b y / < / 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1b6b1d3-9b1c-419f-ba2e-fefc168d435a">
      <Terms xmlns="http://schemas.microsoft.com/office/infopath/2007/PartnerControls"/>
    </lcf76f155ced4ddcb4097134ff3c332f>
    <_ip_UnifiedCompliancePolicyProperties xmlns="http://schemas.microsoft.com/sharepoint/v3" xsi:nil="true"/>
    <TaxCatchAll xmlns="f35b5cbd-7b0b-4440-92cd-b510cab4ec67" xsi:nil="true"/>
    <FilePath xmlns="b1b6b1d3-9b1c-419f-ba2e-fefc168d43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5.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21" ma:contentTypeDescription="Create a new document." ma:contentTypeScope="" ma:versionID="bc824d11663d723502d19b2f23440782">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2e9b61414040fc68e827a9859eac060a"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92E8BC-996F-4634-A148-0F059D409F47}">
  <ds:schemaRefs>
    <ds:schemaRef ds:uri="http://schemas.microsoft.com/DataMashup"/>
  </ds:schemaRefs>
</ds:datastoreItem>
</file>

<file path=customXml/itemProps2.xml><?xml version="1.0" encoding="utf-8"?>
<ds:datastoreItem xmlns:ds="http://schemas.openxmlformats.org/officeDocument/2006/customXml" ds:itemID="{8960A401-5BD1-48EA-B12B-96DF358016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2006/metadata/properties"/>
    <ds:schemaRef ds:uri="http://schemas.microsoft.com/sharepoint/v3"/>
    <ds:schemaRef ds:uri="http://www.w3.org/XML/1998/namespace"/>
    <ds:schemaRef ds:uri="http://schemas.microsoft.com/office/infopath/2007/PartnerControls"/>
    <ds:schemaRef ds:uri="f35b5cbd-7b0b-4440-92cd-b510cab4ec67"/>
    <ds:schemaRef ds:uri="b1b6b1d3-9b1c-419f-ba2e-fefc168d435a"/>
    <ds:schemaRef ds:uri="http://purl.org/dc/dcmitype/"/>
  </ds:schemaRefs>
</ds:datastoreItem>
</file>

<file path=customXml/itemProps3.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4.xml><?xml version="1.0" encoding="utf-8"?>
<ds:datastoreItem xmlns:ds="http://schemas.openxmlformats.org/officeDocument/2006/customXml" ds:itemID="{51DB1738-50F6-4DD9-B2C2-1D88F8C49C75}">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A26420C2-D5E4-4C4A-8D5F-93467E7116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Ball, Dave (Finance)</cp:lastModifiedBy>
  <cp:revision/>
  <dcterms:created xsi:type="dcterms:W3CDTF">2021-01-04T16:10:44Z</dcterms:created>
  <dcterms:modified xsi:type="dcterms:W3CDTF">2023-12-15T09:12:45Z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0x010100F4BD99A05A53D84497D28996D01F6D6C</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Housekeeping K Bartlam issues</vt:lpwstr>
  </property>
  <property fmtid="{D5CDD505-2E9C-101B-9397-08002B2CF9AE}" pid="31" name="AIP/Modification">
    <vt:lpwstr>Modification</vt:lpwstr>
  </property>
  <property fmtid="{D5CDD505-2E9C-101B-9397-08002B2CF9AE}" pid="32" name="AIP Year">
    <vt:lpwstr>2023</vt:lpwstr>
  </property>
  <property fmtid="{D5CDD505-2E9C-101B-9397-08002B2CF9AE}" pid="33" name="Full/Public">
    <vt:lpwstr>Reduced Model</vt:lpwstr>
  </property>
  <property fmtid="{D5CDD505-2E9C-101B-9397-08002B2CF9AE}" pid="34" name="Sector">
    <vt:lpwstr>ED</vt:lpwstr>
  </property>
  <property fmtid="{D5CDD505-2E9C-101B-9397-08002B2CF9AE}" pid="35" name="Exported">
    <vt:bool>false</vt:bool>
  </property>
  <property fmtid="{D5CDD505-2E9C-101B-9397-08002B2CF9AE}" pid="36" name="MSIP_Label_38144ccb-b10a-4c0f-b070-7a3b00ac7463_Enabled">
    <vt:lpwstr>true</vt:lpwstr>
  </property>
  <property fmtid="{D5CDD505-2E9C-101B-9397-08002B2CF9AE}" pid="37" name="MSIP_Label_38144ccb-b10a-4c0f-b070-7a3b00ac7463_SetDate">
    <vt:lpwstr>2023-10-12T14:42:31Z</vt:lpwstr>
  </property>
  <property fmtid="{D5CDD505-2E9C-101B-9397-08002B2CF9AE}" pid="38" name="MSIP_Label_38144ccb-b10a-4c0f-b070-7a3b00ac7463_Method">
    <vt:lpwstr>Standard</vt:lpwstr>
  </property>
  <property fmtid="{D5CDD505-2E9C-101B-9397-08002B2CF9AE}" pid="39" name="MSIP_Label_38144ccb-b10a-4c0f-b070-7a3b00ac7463_Name">
    <vt:lpwstr>InternalOnly</vt:lpwstr>
  </property>
  <property fmtid="{D5CDD505-2E9C-101B-9397-08002B2CF9AE}" pid="40" name="MSIP_Label_38144ccb-b10a-4c0f-b070-7a3b00ac7463_SiteId">
    <vt:lpwstr>185562ad-39bc-4840-8e40-be6216340c52</vt:lpwstr>
  </property>
  <property fmtid="{D5CDD505-2E9C-101B-9397-08002B2CF9AE}" pid="41" name="MSIP_Label_38144ccb-b10a-4c0f-b070-7a3b00ac7463_ActionId">
    <vt:lpwstr>4e77d1d9-22ce-4596-bc49-4349dc67c08d</vt:lpwstr>
  </property>
  <property fmtid="{D5CDD505-2E9C-101B-9397-08002B2CF9AE}" pid="42" name="MSIP_Label_38144ccb-b10a-4c0f-b070-7a3b00ac7463_ContentBits">
    <vt:lpwstr>2</vt:lpwstr>
  </property>
</Properties>
</file>